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4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6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7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18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9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20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21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22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3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24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2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26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27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28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29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30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31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32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33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34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35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is\Downloads\"/>
    </mc:Choice>
  </mc:AlternateContent>
  <xr:revisionPtr revIDLastSave="0" documentId="8_{135EEDCF-9521-41A8-85BA-9C7C0C6AA3C9}" xr6:coauthVersionLast="47" xr6:coauthVersionMax="47" xr10:uidLastSave="{00000000-0000-0000-0000-000000000000}"/>
  <bookViews>
    <workbookView xWindow="-120" yWindow="-120" windowWidth="20730" windowHeight="11160" activeTab="27" xr2:uid="{544F0204-7955-41D8-993C-04E560CB2735}"/>
  </bookViews>
  <sheets>
    <sheet name="Nacional" sheetId="1" r:id="rId1"/>
    <sheet name="Rural_Urbano" sheetId="5" r:id="rId2"/>
    <sheet name="Lengua Indigena " sheetId="8" r:id="rId3"/>
    <sheet name="Aguascalientes" sheetId="9" r:id="rId4"/>
    <sheet name="Baja California" sheetId="10" r:id="rId5"/>
    <sheet name="Baja California Sur" sheetId="11" r:id="rId6"/>
    <sheet name="Campeche" sheetId="12" r:id="rId7"/>
    <sheet name="Coahuila" sheetId="13" r:id="rId8"/>
    <sheet name="Colima" sheetId="14" r:id="rId9"/>
    <sheet name=" Chiapas" sheetId="15" r:id="rId10"/>
    <sheet name="Chihuahua" sheetId="16" r:id="rId11"/>
    <sheet name="Ciudad de México" sheetId="28" r:id="rId12"/>
    <sheet name="Durango" sheetId="29" r:id="rId13"/>
    <sheet name="Guanajuato" sheetId="30" r:id="rId14"/>
    <sheet name="Guerrero" sheetId="31" r:id="rId15"/>
    <sheet name="Hidalgo" sheetId="32" r:id="rId16"/>
    <sheet name="Jalisco" sheetId="33" r:id="rId17"/>
    <sheet name="México" sheetId="34" r:id="rId18"/>
    <sheet name="Michoacán" sheetId="35" r:id="rId19"/>
    <sheet name="Morelos" sheetId="36" r:id="rId20"/>
    <sheet name="Nayarit" sheetId="37" r:id="rId21"/>
    <sheet name="Nuevo León" sheetId="38" r:id="rId22"/>
    <sheet name="Oaxaca" sheetId="39" r:id="rId23"/>
    <sheet name="Puebla" sheetId="40" r:id="rId24"/>
    <sheet name="Querétaro" sheetId="41" r:id="rId25"/>
    <sheet name="Quintana Roo" sheetId="42" r:id="rId26"/>
    <sheet name="San Luis Potosí" sheetId="43" r:id="rId27"/>
    <sheet name="Sinaloa" sheetId="44" r:id="rId28"/>
    <sheet name="Sonora" sheetId="45" r:id="rId29"/>
    <sheet name="Tabasco" sheetId="46" r:id="rId30"/>
    <sheet name="Tamaulipas" sheetId="47" r:id="rId31"/>
    <sheet name="Tlaxcala" sheetId="48" r:id="rId32"/>
    <sheet name="Veracruz" sheetId="49" r:id="rId33"/>
    <sheet name="Yucatán" sheetId="50" r:id="rId34"/>
    <sheet name="Zacatecas" sheetId="51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51" l="1"/>
  <c r="Q15" i="51"/>
  <c r="I16" i="51"/>
  <c r="Q16" i="51"/>
  <c r="I17" i="51"/>
  <c r="Q17" i="51"/>
  <c r="I18" i="51"/>
  <c r="Q18" i="51"/>
  <c r="I19" i="51"/>
  <c r="Q19" i="51"/>
  <c r="I20" i="51"/>
  <c r="Q20" i="51"/>
  <c r="I22" i="51"/>
  <c r="Q22" i="51"/>
  <c r="I23" i="51"/>
  <c r="Q23" i="51"/>
  <c r="I25" i="51"/>
  <c r="Q25" i="51"/>
  <c r="I26" i="51"/>
  <c r="Q26" i="51"/>
  <c r="I27" i="51"/>
  <c r="Q27" i="51"/>
  <c r="I28" i="51"/>
  <c r="Q28" i="51"/>
  <c r="I29" i="51"/>
  <c r="Q29" i="51"/>
  <c r="I30" i="51"/>
  <c r="Q30" i="51"/>
  <c r="I32" i="51"/>
  <c r="Q32" i="51"/>
  <c r="I33" i="51"/>
  <c r="Q33" i="51"/>
  <c r="I15" i="50"/>
  <c r="Q15" i="50"/>
  <c r="I16" i="50"/>
  <c r="Q16" i="50"/>
  <c r="I17" i="50"/>
  <c r="Q17" i="50"/>
  <c r="I18" i="50"/>
  <c r="Q18" i="50"/>
  <c r="I19" i="50"/>
  <c r="Q19" i="50"/>
  <c r="I20" i="50"/>
  <c r="Q20" i="50"/>
  <c r="I22" i="50"/>
  <c r="Q22" i="50"/>
  <c r="I23" i="50"/>
  <c r="Q23" i="50"/>
  <c r="I25" i="50"/>
  <c r="Q25" i="50"/>
  <c r="I26" i="50"/>
  <c r="Q26" i="50"/>
  <c r="I27" i="50"/>
  <c r="Q27" i="50"/>
  <c r="I28" i="50"/>
  <c r="Q28" i="50"/>
  <c r="I29" i="50"/>
  <c r="Q29" i="50"/>
  <c r="I30" i="50"/>
  <c r="Q30" i="50"/>
  <c r="I32" i="50"/>
  <c r="Q32" i="50"/>
  <c r="I33" i="50"/>
  <c r="Q33" i="50"/>
  <c r="I15" i="49"/>
  <c r="Q15" i="49"/>
  <c r="I16" i="49"/>
  <c r="Q16" i="49"/>
  <c r="I17" i="49"/>
  <c r="Q17" i="49"/>
  <c r="I18" i="49"/>
  <c r="Q18" i="49"/>
  <c r="I19" i="49"/>
  <c r="Q19" i="49"/>
  <c r="I20" i="49"/>
  <c r="Q20" i="49"/>
  <c r="I22" i="49"/>
  <c r="Q22" i="49"/>
  <c r="I23" i="49"/>
  <c r="Q23" i="49"/>
  <c r="I25" i="49"/>
  <c r="Q25" i="49"/>
  <c r="I26" i="49"/>
  <c r="Q26" i="49"/>
  <c r="I27" i="49"/>
  <c r="Q27" i="49"/>
  <c r="I28" i="49"/>
  <c r="Q28" i="49"/>
  <c r="I29" i="49"/>
  <c r="Q29" i="49"/>
  <c r="I30" i="49"/>
  <c r="Q30" i="49"/>
  <c r="I32" i="49"/>
  <c r="Q32" i="49"/>
  <c r="I33" i="49"/>
  <c r="Q33" i="49"/>
  <c r="I15" i="48"/>
  <c r="Q15" i="48"/>
  <c r="I16" i="48"/>
  <c r="Q16" i="48"/>
  <c r="I17" i="48"/>
  <c r="Q17" i="48"/>
  <c r="I18" i="48"/>
  <c r="Q18" i="48"/>
  <c r="I19" i="48"/>
  <c r="Q19" i="48"/>
  <c r="I20" i="48"/>
  <c r="Q20" i="48"/>
  <c r="I22" i="48"/>
  <c r="Q22" i="48"/>
  <c r="I23" i="48"/>
  <c r="Q23" i="48"/>
  <c r="I25" i="48"/>
  <c r="Q25" i="48"/>
  <c r="I26" i="48"/>
  <c r="Q26" i="48"/>
  <c r="I27" i="48"/>
  <c r="Q27" i="48"/>
  <c r="I28" i="48"/>
  <c r="Q28" i="48"/>
  <c r="I29" i="48"/>
  <c r="Q29" i="48"/>
  <c r="I30" i="48"/>
  <c r="Q30" i="48"/>
  <c r="I32" i="48"/>
  <c r="Q32" i="48"/>
  <c r="I33" i="48"/>
  <c r="Q33" i="48"/>
  <c r="I15" i="47"/>
  <c r="Q15" i="47"/>
  <c r="I16" i="47"/>
  <c r="Q16" i="47"/>
  <c r="I17" i="47"/>
  <c r="Q17" i="47"/>
  <c r="I18" i="47"/>
  <c r="Q18" i="47"/>
  <c r="I19" i="47"/>
  <c r="Q19" i="47"/>
  <c r="I20" i="47"/>
  <c r="Q20" i="47"/>
  <c r="I22" i="47"/>
  <c r="Q22" i="47"/>
  <c r="I23" i="47"/>
  <c r="Q23" i="47"/>
  <c r="I25" i="47"/>
  <c r="Q25" i="47"/>
  <c r="I26" i="47"/>
  <c r="Q26" i="47"/>
  <c r="I27" i="47"/>
  <c r="Q27" i="47"/>
  <c r="I28" i="47"/>
  <c r="Q28" i="47"/>
  <c r="I29" i="47"/>
  <c r="Q29" i="47"/>
  <c r="I30" i="47"/>
  <c r="Q30" i="47"/>
  <c r="I32" i="47"/>
  <c r="Q32" i="47"/>
  <c r="I33" i="47"/>
  <c r="Q33" i="47"/>
  <c r="I15" i="46"/>
  <c r="Q15" i="46"/>
  <c r="I16" i="46"/>
  <c r="Q16" i="46"/>
  <c r="I17" i="46"/>
  <c r="Q17" i="46"/>
  <c r="I18" i="46"/>
  <c r="Q18" i="46"/>
  <c r="I19" i="46"/>
  <c r="Q19" i="46"/>
  <c r="I20" i="46"/>
  <c r="Q20" i="46"/>
  <c r="I22" i="46"/>
  <c r="Q22" i="46"/>
  <c r="I23" i="46"/>
  <c r="Q23" i="46"/>
  <c r="I25" i="46"/>
  <c r="Q25" i="46"/>
  <c r="I26" i="46"/>
  <c r="Q26" i="46"/>
  <c r="I27" i="46"/>
  <c r="Q27" i="46"/>
  <c r="I28" i="46"/>
  <c r="Q28" i="46"/>
  <c r="I29" i="46"/>
  <c r="Q29" i="46"/>
  <c r="I30" i="46"/>
  <c r="Q30" i="46"/>
  <c r="I32" i="46"/>
  <c r="Q32" i="46"/>
  <c r="I33" i="46"/>
  <c r="Q33" i="46"/>
  <c r="I15" i="45"/>
  <c r="Q15" i="45"/>
  <c r="I16" i="45"/>
  <c r="Q16" i="45"/>
  <c r="I17" i="45"/>
  <c r="Q17" i="45"/>
  <c r="I18" i="45"/>
  <c r="Q18" i="45"/>
  <c r="I19" i="45"/>
  <c r="Q19" i="45"/>
  <c r="I20" i="45"/>
  <c r="Q20" i="45"/>
  <c r="I22" i="45"/>
  <c r="Q22" i="45"/>
  <c r="I23" i="45"/>
  <c r="Q23" i="45"/>
  <c r="I25" i="45"/>
  <c r="Q25" i="45"/>
  <c r="I26" i="45"/>
  <c r="Q26" i="45"/>
  <c r="I27" i="45"/>
  <c r="Q27" i="45"/>
  <c r="I28" i="45"/>
  <c r="Q28" i="45"/>
  <c r="I29" i="45"/>
  <c r="Q29" i="45"/>
  <c r="I30" i="45"/>
  <c r="Q30" i="45"/>
  <c r="I32" i="45"/>
  <c r="Q32" i="45"/>
  <c r="I33" i="45"/>
  <c r="Q33" i="45"/>
  <c r="I15" i="44"/>
  <c r="Q15" i="44"/>
  <c r="I16" i="44"/>
  <c r="Q16" i="44"/>
  <c r="I17" i="44"/>
  <c r="Q17" i="44"/>
  <c r="I18" i="44"/>
  <c r="Q18" i="44"/>
  <c r="I19" i="44"/>
  <c r="Q19" i="44"/>
  <c r="I20" i="44"/>
  <c r="Q20" i="44"/>
  <c r="I22" i="44"/>
  <c r="Q22" i="44"/>
  <c r="I23" i="44"/>
  <c r="Q23" i="44"/>
  <c r="I25" i="44"/>
  <c r="Q25" i="44"/>
  <c r="I26" i="44"/>
  <c r="Q26" i="44"/>
  <c r="I27" i="44"/>
  <c r="Q27" i="44"/>
  <c r="I28" i="44"/>
  <c r="Q28" i="44"/>
  <c r="I29" i="44"/>
  <c r="Q29" i="44"/>
  <c r="I30" i="44"/>
  <c r="Q30" i="44"/>
  <c r="I32" i="44"/>
  <c r="Q32" i="44"/>
  <c r="I33" i="44"/>
  <c r="Q33" i="44"/>
</calcChain>
</file>

<file path=xl/sharedStrings.xml><?xml version="1.0" encoding="utf-8"?>
<sst xmlns="http://schemas.openxmlformats.org/spreadsheetml/2006/main" count="1007" uniqueCount="73">
  <si>
    <t xml:space="preserve">Indicadores </t>
  </si>
  <si>
    <t>Estados Unidos Mexicanos</t>
  </si>
  <si>
    <t>Porcentaje</t>
  </si>
  <si>
    <t>Millones de personas</t>
  </si>
  <si>
    <t>Pobreza</t>
  </si>
  <si>
    <t>Población en situación de pobreza</t>
  </si>
  <si>
    <t xml:space="preserve">    Población en situación de pobreza moderada</t>
  </si>
  <si>
    <t xml:space="preserve">    Población en situación de pobreza extrema</t>
  </si>
  <si>
    <t>Población vulnerable por carencias sociales</t>
  </si>
  <si>
    <t>Población vulnerable por ingresos</t>
  </si>
  <si>
    <t>Población no pobre y no vulnerable</t>
  </si>
  <si>
    <t>Privación social</t>
  </si>
  <si>
    <t>Población con al menos una carencia social</t>
  </si>
  <si>
    <t>Población con al menos tres carencias sociales</t>
  </si>
  <si>
    <t>Indicadores de carencia social</t>
  </si>
  <si>
    <t>Rezago educativo</t>
  </si>
  <si>
    <t>Carencia por acceso a los servicios de salud</t>
  </si>
  <si>
    <t>Carencia por acceso a la seguridad social</t>
  </si>
  <si>
    <t>Carencia por calidad y espacios de la vivienda</t>
  </si>
  <si>
    <t>Carencia por acceso a los servicios básicos en la vivienda</t>
  </si>
  <si>
    <t xml:space="preserve">Carencia por acceso a la alimentación </t>
  </si>
  <si>
    <t>Bienestar</t>
  </si>
  <si>
    <t xml:space="preserve">Población con ingreso inferior a la línea de pobreza extrema por ingresos </t>
  </si>
  <si>
    <t xml:space="preserve">Población con ingreso inferior a la línea de pobreza por ingresos </t>
  </si>
  <si>
    <t>Medición de la pobreza, Estados Unidos Mexicanos, serie 2008-2020</t>
  </si>
  <si>
    <t>Porcentaje y número de personas  por indicador de pobreza, 2008-2020</t>
  </si>
  <si>
    <t>Fuente: estimaciones del PUED con base en el MCS-ENIGH 2008, 2010, 2012, 2014 y el MEC del MCS-ENIGH 2016, 2018 y 2020.</t>
  </si>
  <si>
    <t>Nivel de precisión de las estimaciones:</t>
  </si>
  <si>
    <r>
      <t xml:space="preserve">     </t>
    </r>
    <r>
      <rPr>
        <b/>
        <sz val="8"/>
        <color theme="1"/>
        <rFont val="Arial"/>
        <family val="2"/>
      </rPr>
      <t>Alta,</t>
    </r>
    <r>
      <rPr>
        <sz val="8"/>
        <color theme="1"/>
        <rFont val="Arial"/>
        <family val="2"/>
      </rPr>
      <t xml:space="preserve"> CV en el rango de (0,15) </t>
    </r>
  </si>
  <si>
    <r>
      <t xml:space="preserve">     </t>
    </r>
    <r>
      <rPr>
        <b/>
        <sz val="8"/>
        <color theme="1"/>
        <rFont val="Arial"/>
        <family val="2"/>
      </rPr>
      <t>Moderada,</t>
    </r>
    <r>
      <rPr>
        <sz val="8"/>
        <color theme="1"/>
        <rFont val="Arial"/>
        <family val="2"/>
      </rPr>
      <t xml:space="preserve"> CV en el rango de [15,30) </t>
    </r>
  </si>
  <si>
    <r>
      <rPr>
        <b/>
        <sz val="8"/>
        <color theme="1"/>
        <rFont val="Arial"/>
        <family val="2"/>
      </rPr>
      <t xml:space="preserve">     Baja</t>
    </r>
    <r>
      <rPr>
        <sz val="8"/>
        <color theme="1"/>
        <rFont val="Arial"/>
        <family val="2"/>
      </rPr>
      <t>, CV de 30% en adelante</t>
    </r>
  </si>
  <si>
    <t>Medición de la pobreza, Urbana, serie 2008-2020</t>
  </si>
  <si>
    <t>Medición de la pobreza, Rural, serie 2008-2020</t>
  </si>
  <si>
    <t>Medición de la pobreza, No hablante de lengua indígena, serie 2008-2020</t>
  </si>
  <si>
    <t>Medición de la pobreza, Hablante de lengua indígena, serie 2008-2020</t>
  </si>
  <si>
    <t xml:space="preserve">Estimaciones obtenidas de acuerdo con los Lineamientos y criterios generales para la definición, identificación y medición de la pobreza 2010. </t>
  </si>
  <si>
    <t>Fuente: estimaciones del PUED-UNAM con base en el MCS-ENIGH 2008, 2010, 2012, 2014 y el MEC del MCS-ENIGH 2016, 2018 y 2020.</t>
  </si>
  <si>
    <t>Miles de personas</t>
  </si>
  <si>
    <t>Porcentaje y número de personas de pobreza, 2008-2020</t>
  </si>
  <si>
    <t>Medición de la pobreza, Aguascalientes, serie 2008-2020</t>
  </si>
  <si>
    <t>Medición de la pobreza, Baja California, serie 2008-2020</t>
  </si>
  <si>
    <t>Medición de la pobreza, Baja California Sur, serie 2008-2020</t>
  </si>
  <si>
    <t>Medición de la pobreza, Campeche, serie 2008-2020</t>
  </si>
  <si>
    <t>Medición de la pobreza, Coahuila, serie 2008-2020</t>
  </si>
  <si>
    <t>Medición de la pobreza, Colima, serie 2008-2020</t>
  </si>
  <si>
    <t>Medición de la pobreza, Chiapas, serie 2008-2020</t>
  </si>
  <si>
    <t>Medición de la pobreza, Chihuahua, serie 2008-2020</t>
  </si>
  <si>
    <t xml:space="preserve">Fuente: Estimaciones del PUED-UNAM, con base en el MCS-ENIGH 2008, 2010, 2012, 2014 y el MEC del MCS-ENIGH 2016, 2018 y 2020. </t>
  </si>
  <si>
    <t>Medición de la pobreza, Ciudad de México, serie 2008-2020</t>
  </si>
  <si>
    <t>Medición de la pobreza, Durango, serie 2008-2020</t>
  </si>
  <si>
    <t>Medición de la pobreza, Guanajuato, serie 2008-2020</t>
  </si>
  <si>
    <t>Medición de la pobreza, Guerrero, serie 2008-2020</t>
  </si>
  <si>
    <t>Medición de la pobreza, Hidalgo, serie 2008-2020</t>
  </si>
  <si>
    <t>Medición de la pobreza, Jalisco, serie 2008-2020</t>
  </si>
  <si>
    <t>Medición de la pobreza, México, serie 2008-2020</t>
  </si>
  <si>
    <t>Medición de la pobreza, Michoacán, serie 2008-2020</t>
  </si>
  <si>
    <t>Medición de la pobreza, Morelos, serie 2008-2020</t>
  </si>
  <si>
    <t>Medición de la pobreza, Nayarit, serie 2008-2020</t>
  </si>
  <si>
    <t>Medición de la pobreza, Nuevo León, serie 2008-2020</t>
  </si>
  <si>
    <t>Medición de la pobreza, Oaxaca, serie 2008-2020</t>
  </si>
  <si>
    <t>Medición de la pobreza, Puebla, serie 2008-2020</t>
  </si>
  <si>
    <t>Medición de la pobreza, Querétaro, serie 2008-2020</t>
  </si>
  <si>
    <t>Medición de la pobreza, Quintana Roo, serie 2008-2020</t>
  </si>
  <si>
    <t>Fuente: Estimaciones del PUED-UNAM, con base en el MCS-ENIGH 2008, 2010, 2012, 2014  y el MEC del MCS-ENIGH 2016, 2018 y 2020.</t>
  </si>
  <si>
    <t>Medición de la pobreza, Sinaloa, serie 2008-2020</t>
  </si>
  <si>
    <t>Medición de la pobreza, Sonora, serie 2008-2020</t>
  </si>
  <si>
    <t>Medición de la pobreza, Tabasco, serie 2008-2020</t>
  </si>
  <si>
    <t>Medición de la pobreza, Tamaulipas, serie 2008-2020</t>
  </si>
  <si>
    <t>Medición de la pobreza, Tlaxcala serie 2008-2020</t>
  </si>
  <si>
    <t>Medición de la pobreza, Veracruz, serie 2008-2020</t>
  </si>
  <si>
    <t>Medición de la pobreza, Yucatán serie 2008-2020</t>
  </si>
  <si>
    <t>Medición de la pobreza, Zacatecas serie 2008-2020</t>
  </si>
  <si>
    <t>Medición de la pobreza, San Luis Potosí, serie 2008-2020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</si>
</sst>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51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Arial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A00"/>
        <bgColor indexed="64"/>
      </patternFill>
    </fill>
    <fill>
      <patternFill patternType="solid">
        <fgColor rgb="FFFF54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3" fillId="0" borderId="0"/>
    <xf numFmtId="0" fontId="11" fillId="0" borderId="0"/>
    <xf numFmtId="0" fontId="12" fillId="0" borderId="0"/>
    <xf numFmtId="0" fontId="3" fillId="0" borderId="0"/>
  </cellStyleXfs>
  <cellXfs count="10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0" fontId="3" fillId="2" borderId="0" xfId="0" applyFont="1" applyFill="1"/>
    <xf numFmtId="0" fontId="0" fillId="2" borderId="4" xfId="0" applyFill="1" applyBorder="1"/>
    <xf numFmtId="0" fontId="3" fillId="2" borderId="4" xfId="0" applyFont="1" applyFill="1" applyBorder="1" applyAlignment="1">
      <alignment horizontal="right" indent="1"/>
    </xf>
    <xf numFmtId="0" fontId="4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right" indent="3"/>
    </xf>
    <xf numFmtId="0" fontId="5" fillId="2" borderId="0" xfId="0" applyFont="1" applyFill="1"/>
    <xf numFmtId="0" fontId="3" fillId="2" borderId="0" xfId="0" applyFont="1" applyFill="1" applyAlignment="1">
      <alignment horizontal="left" vertical="justify" wrapText="1" indent="2"/>
    </xf>
    <xf numFmtId="165" fontId="3" fillId="2" borderId="0" xfId="0" applyNumberFormat="1" applyFont="1" applyFill="1" applyAlignment="1">
      <alignment horizontal="right" indent="1"/>
    </xf>
    <xf numFmtId="0" fontId="4" fillId="2" borderId="0" xfId="0" applyFont="1" applyFill="1" applyAlignment="1">
      <alignment horizontal="justify"/>
    </xf>
    <xf numFmtId="0" fontId="3" fillId="2" borderId="0" xfId="0" applyFont="1" applyFill="1" applyAlignment="1">
      <alignment horizontal="left" indent="2"/>
    </xf>
    <xf numFmtId="0" fontId="4" fillId="2" borderId="0" xfId="0" applyFont="1" applyFill="1"/>
    <xf numFmtId="0" fontId="3" fillId="2" borderId="0" xfId="0" applyFont="1" applyFill="1" applyAlignment="1">
      <alignment horizontal="left" vertical="center" wrapText="1" indent="2"/>
    </xf>
    <xf numFmtId="0" fontId="0" fillId="2" borderId="0" xfId="0" applyFill="1" applyAlignment="1">
      <alignment horizontal="left" indent="2"/>
    </xf>
    <xf numFmtId="0" fontId="0" fillId="2" borderId="1" xfId="0" applyFill="1" applyBorder="1"/>
    <xf numFmtId="165" fontId="3" fillId="2" borderId="1" xfId="0" applyNumberFormat="1" applyFont="1" applyFill="1" applyBorder="1" applyAlignment="1">
      <alignment horizontal="right" indent="1"/>
    </xf>
    <xf numFmtId="0" fontId="6" fillId="2" borderId="0" xfId="0" applyFont="1" applyFill="1" applyAlignment="1">
      <alignment horizontal="left"/>
    </xf>
    <xf numFmtId="0" fontId="4" fillId="2" borderId="4" xfId="0" applyFont="1" applyFill="1" applyBorder="1" applyAlignment="1">
      <alignment horizontal="right" vertical="center" wrapText="1" indent="1"/>
    </xf>
    <xf numFmtId="0" fontId="4" fillId="2" borderId="4" xfId="0" applyFont="1" applyFill="1" applyBorder="1" applyAlignment="1">
      <alignment horizontal="right" indent="1"/>
    </xf>
    <xf numFmtId="0" fontId="4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 indent="2"/>
    </xf>
    <xf numFmtId="165" fontId="3" fillId="2" borderId="0" xfId="0" applyNumberFormat="1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3" fillId="2" borderId="0" xfId="3" applyFont="1" applyFill="1" applyAlignment="1">
      <alignment vertical="center"/>
    </xf>
    <xf numFmtId="0" fontId="13" fillId="2" borderId="0" xfId="3" applyFont="1" applyFill="1" applyAlignment="1">
      <alignment horizontal="left" vertical="center"/>
    </xf>
    <xf numFmtId="0" fontId="12" fillId="2" borderId="0" xfId="3" applyFill="1"/>
    <xf numFmtId="0" fontId="1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 indent="2"/>
    </xf>
    <xf numFmtId="0" fontId="3" fillId="2" borderId="0" xfId="4" applyFill="1"/>
    <xf numFmtId="0" fontId="13" fillId="2" borderId="0" xfId="4" applyFont="1" applyFill="1" applyAlignment="1">
      <alignment horizontal="left" vertical="center"/>
    </xf>
    <xf numFmtId="0" fontId="13" fillId="2" borderId="0" xfId="4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 indent="2"/>
    </xf>
    <xf numFmtId="164" fontId="3" fillId="2" borderId="0" xfId="1" applyNumberFormat="1" applyFill="1" applyAlignment="1">
      <alignment horizontal="right" indent="1"/>
    </xf>
    <xf numFmtId="164" fontId="3" fillId="2" borderId="1" xfId="1" applyNumberFormat="1" applyFill="1" applyBorder="1" applyAlignment="1">
      <alignment horizontal="right" indent="1"/>
    </xf>
    <xf numFmtId="165" fontId="3" fillId="2" borderId="0" xfId="1" applyNumberFormat="1" applyFill="1" applyAlignment="1">
      <alignment horizontal="right" indent="2"/>
    </xf>
    <xf numFmtId="165" fontId="3" fillId="2" borderId="1" xfId="1" applyNumberFormat="1" applyFill="1" applyBorder="1" applyAlignment="1">
      <alignment horizontal="right" indent="2"/>
    </xf>
    <xf numFmtId="165" fontId="3" fillId="2" borderId="0" xfId="1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3" fillId="2" borderId="0" xfId="1" applyNumberFormat="1" applyFill="1" applyBorder="1" applyAlignment="1">
      <alignment horizontal="right" indent="1"/>
    </xf>
    <xf numFmtId="0" fontId="0" fillId="2" borderId="0" xfId="0" applyFill="1" applyBorder="1"/>
    <xf numFmtId="164" fontId="3" fillId="7" borderId="0" xfId="1" applyNumberFormat="1" applyFill="1" applyAlignment="1">
      <alignment horizontal="right" indent="1"/>
    </xf>
    <xf numFmtId="0" fontId="12" fillId="0" borderId="0" xfId="3"/>
    <xf numFmtId="3" fontId="0" fillId="2" borderId="0" xfId="0" applyNumberFormat="1" applyFill="1"/>
    <xf numFmtId="165" fontId="3" fillId="2" borderId="1" xfId="1" applyNumberFormat="1" applyFill="1" applyBorder="1" applyAlignment="1">
      <alignment horizontal="center"/>
    </xf>
    <xf numFmtId="165" fontId="3" fillId="2" borderId="1" xfId="1" applyNumberFormat="1" applyFill="1" applyBorder="1" applyAlignment="1">
      <alignment horizontal="left"/>
    </xf>
    <xf numFmtId="0" fontId="0" fillId="2" borderId="0" xfId="0" applyFill="1" applyAlignment="1">
      <alignment horizontal="right"/>
    </xf>
    <xf numFmtId="165" fontId="3" fillId="2" borderId="1" xfId="1" applyNumberForma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4" fontId="3" fillId="2" borderId="0" xfId="1" applyNumberForma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64" fontId="3" fillId="2" borderId="1" xfId="1" applyNumberFormat="1" applyFill="1" applyBorder="1" applyAlignment="1">
      <alignment horizontal="center" wrapText="1"/>
    </xf>
    <xf numFmtId="0" fontId="10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3" fillId="2" borderId="7" xfId="3" applyFont="1" applyFill="1" applyBorder="1" applyAlignment="1">
      <alignment horizontal="left" vertical="center"/>
    </xf>
    <xf numFmtId="0" fontId="13" fillId="2" borderId="7" xfId="3" applyFont="1" applyFill="1" applyBorder="1" applyAlignment="1">
      <alignment vertical="center"/>
    </xf>
    <xf numFmtId="164" fontId="3" fillId="0" borderId="1" xfId="1" applyNumberFormat="1" applyFill="1" applyBorder="1" applyAlignment="1">
      <alignment horizontal="right" indent="1"/>
    </xf>
    <xf numFmtId="165" fontId="3" fillId="2" borderId="0" xfId="0" applyNumberFormat="1" applyFont="1" applyFill="1" applyBorder="1" applyAlignment="1">
      <alignment horizontal="right" indent="1"/>
    </xf>
    <xf numFmtId="0" fontId="13" fillId="5" borderId="0" xfId="3" applyFont="1" applyFill="1" applyAlignment="1">
      <alignment horizontal="left" vertical="center"/>
    </xf>
    <xf numFmtId="0" fontId="13" fillId="6" borderId="0" xfId="3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13" fillId="2" borderId="0" xfId="3" applyFont="1" applyFill="1" applyAlignment="1">
      <alignment horizontal="left" vertical="center"/>
    </xf>
    <xf numFmtId="0" fontId="13" fillId="2" borderId="0" xfId="4" applyFont="1" applyFill="1" applyAlignment="1">
      <alignment horizontal="left" vertical="center"/>
    </xf>
    <xf numFmtId="165" fontId="3" fillId="2" borderId="0" xfId="1" applyNumberFormat="1" applyFill="1" applyAlignment="1">
      <alignment horizontal="right" vertical="center"/>
    </xf>
    <xf numFmtId="165" fontId="3" fillId="2" borderId="1" xfId="1" applyNumberFormat="1" applyFill="1" applyBorder="1" applyAlignment="1">
      <alignment horizontal="right" vertical="center"/>
    </xf>
    <xf numFmtId="165" fontId="3" fillId="2" borderId="0" xfId="1" applyNumberFormat="1" applyFill="1" applyAlignment="1">
      <alignment horizontal="right"/>
    </xf>
    <xf numFmtId="164" fontId="3" fillId="2" borderId="0" xfId="1" applyNumberFormat="1" applyFill="1" applyAlignment="1">
      <alignment horizontal="right" vertical="center"/>
    </xf>
    <xf numFmtId="164" fontId="3" fillId="2" borderId="1" xfId="1" applyNumberForma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164" fontId="3" fillId="2" borderId="0" xfId="1" applyNumberFormat="1" applyFill="1" applyAlignment="1">
      <alignment horizontal="right"/>
    </xf>
    <xf numFmtId="164" fontId="3" fillId="2" borderId="1" xfId="1" applyNumberFormat="1" applyFill="1" applyBorder="1" applyAlignment="1">
      <alignment horizontal="right"/>
    </xf>
    <xf numFmtId="0" fontId="12" fillId="2" borderId="7" xfId="3" applyFill="1" applyBorder="1"/>
    <xf numFmtId="0" fontId="10" fillId="2" borderId="0" xfId="0" applyFont="1" applyFill="1" applyAlignment="1">
      <alignment horizontal="right"/>
    </xf>
    <xf numFmtId="164" fontId="3" fillId="2" borderId="1" xfId="1" applyNumberFormat="1" applyFill="1" applyBorder="1" applyAlignment="1">
      <alignment horizontal="right" wrapText="1"/>
    </xf>
    <xf numFmtId="164" fontId="10" fillId="2" borderId="0" xfId="0" applyNumberFormat="1" applyFont="1" applyFill="1" applyAlignment="1">
      <alignment horizontal="right"/>
    </xf>
    <xf numFmtId="164" fontId="10" fillId="2" borderId="7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right" vertical="center"/>
    </xf>
    <xf numFmtId="164" fontId="3" fillId="2" borderId="1" xfId="1" applyNumberFormat="1" applyFill="1" applyBorder="1" applyAlignment="1">
      <alignment horizontal="right" vertical="center" wrapText="1"/>
    </xf>
  </cellXfs>
  <cellStyles count="5">
    <cellStyle name="Normal" xfId="0" builtinId="0"/>
    <cellStyle name="Normal 2" xfId="1" xr:uid="{BCEB3E42-F541-4AE6-9961-272ECE4C4ACA}"/>
    <cellStyle name="Normal 4" xfId="3" xr:uid="{C3C1BD92-0C35-4BBE-9DFE-33490F94F09F}"/>
    <cellStyle name="Normal 4 2" xfId="4" xr:uid="{D145AAF2-11B9-49E1-92C3-5EEE96CDBA3E}"/>
    <cellStyle name="Normal 6" xfId="2" xr:uid="{1A687502-7462-4354-885F-F24D82EB97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pobreza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Nacional!$C$13:$I$13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Nacional!$C$15:$I$15</c:f>
              <c:numCache>
                <c:formatCode>#,##0.0</c:formatCode>
                <c:ptCount val="7"/>
                <c:pt idx="0">
                  <c:v>44.358084476328251</c:v>
                </c:pt>
                <c:pt idx="1">
                  <c:v>46.109093079366758</c:v>
                </c:pt>
                <c:pt idx="2">
                  <c:v>45.479202535594233</c:v>
                </c:pt>
                <c:pt idx="3">
                  <c:v>46.167538420819092</c:v>
                </c:pt>
                <c:pt idx="4">
                  <c:v>43.558048784322253</c:v>
                </c:pt>
                <c:pt idx="5">
                  <c:v>41.913075135996735</c:v>
                </c:pt>
                <c:pt idx="6">
                  <c:v>44.461441000000001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1-42E3-B9BF-48BA2A99133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9260127"/>
        <c:axId val="349260959"/>
      </c:lineChart>
      <c:catAx>
        <c:axId val="349260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260959"/>
        <c:crosses val="autoZero"/>
        <c:auto val="1"/>
        <c:lblAlgn val="ctr"/>
        <c:lblOffset val="100"/>
        <c:noMultiLvlLbl val="0"/>
      </c:catAx>
      <c:valAx>
        <c:axId val="349260959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260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</a:t>
            </a:r>
            <a:r>
              <a:rPr lang="es-MX" baseline="0"/>
              <a:t> DE POBREZA EXTREMA HABLANTE DE LENGUA INDIGENA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'Lengua Indigena '!$U$13:$AA$13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'Lengua Indigena '!$U$17:$AA$17</c:f>
              <c:numCache>
                <c:formatCode>#,##0.0</c:formatCode>
                <c:ptCount val="7"/>
                <c:pt idx="0">
                  <c:v>40.667893999999997</c:v>
                </c:pt>
                <c:pt idx="1">
                  <c:v>44.720057000000004</c:v>
                </c:pt>
                <c:pt idx="2">
                  <c:v>38.002743000000002</c:v>
                </c:pt>
                <c:pt idx="3">
                  <c:v>39.871645000000001</c:v>
                </c:pt>
                <c:pt idx="4">
                  <c:v>34.822874999999996</c:v>
                </c:pt>
                <c:pt idx="5">
                  <c:v>35.641298999999997</c:v>
                </c:pt>
                <c:pt idx="6">
                  <c:v>36.288614000000003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B1-44ED-8953-9B53CF33B77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2985887"/>
        <c:axId val="1022992959"/>
      </c:lineChart>
      <c:catAx>
        <c:axId val="1022985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22992959"/>
        <c:crosses val="autoZero"/>
        <c:auto val="1"/>
        <c:lblAlgn val="ctr"/>
        <c:lblOffset val="100"/>
        <c:noMultiLvlLbl val="0"/>
      </c:catAx>
      <c:valAx>
        <c:axId val="1022992959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22985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</a:t>
            </a:r>
            <a:r>
              <a:rPr lang="es-MX" baseline="0"/>
              <a:t> DE POBREZA AGUASCALIENTES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Aguascalientes!$K$13:$Q$13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Aguascalientes!$C$15:$I$15</c:f>
              <c:numCache>
                <c:formatCode>0.0</c:formatCode>
                <c:ptCount val="7"/>
                <c:pt idx="0">
                  <c:v>37.636155359111243</c:v>
                </c:pt>
                <c:pt idx="1">
                  <c:v>38.130727388214986</c:v>
                </c:pt>
                <c:pt idx="2">
                  <c:v>37.758857252686994</c:v>
                </c:pt>
                <c:pt idx="3">
                  <c:v>34.765918462991351</c:v>
                </c:pt>
                <c:pt idx="4">
                  <c:v>28.219217820799585</c:v>
                </c:pt>
                <c:pt idx="5">
                  <c:v>26.182958720738398</c:v>
                </c:pt>
                <c:pt idx="6" formatCode="#,##0.0">
                  <c:v>27.534674999999996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AC-402B-9D04-CBF3E145721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7985199"/>
        <c:axId val="1015539519"/>
      </c:lineChart>
      <c:catAx>
        <c:axId val="10179851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5539519"/>
        <c:crosses val="autoZero"/>
        <c:auto val="1"/>
        <c:lblAlgn val="ctr"/>
        <c:lblOffset val="100"/>
        <c:noMultiLvlLbl val="0"/>
      </c:catAx>
      <c:valAx>
        <c:axId val="1015539519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7985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</a:t>
            </a:r>
            <a:r>
              <a:rPr lang="es-MX" baseline="0"/>
              <a:t> DE POBREZA EXTREMA AGUASCALIENTES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Aguascalientes!$C$17:$I$17</c:f>
              <c:numCache>
                <c:formatCode>0.0</c:formatCode>
                <c:ptCount val="7"/>
                <c:pt idx="0">
                  <c:v>4.1780966995915012</c:v>
                </c:pt>
                <c:pt idx="1">
                  <c:v>3.7661059644548236</c:v>
                </c:pt>
                <c:pt idx="2">
                  <c:v>3.390189125390966</c:v>
                </c:pt>
                <c:pt idx="3">
                  <c:v>2.0967130378670662</c:v>
                </c:pt>
                <c:pt idx="4">
                  <c:v>2.3039399051857732</c:v>
                </c:pt>
                <c:pt idx="5">
                  <c:v>1.1655855449218562</c:v>
                </c:pt>
                <c:pt idx="6" formatCode="#,##0.0">
                  <c:v>2.6818268999999999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6D-4A3A-BB47-A12EDE8AF60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7461039"/>
        <c:axId val="317446479"/>
      </c:lineChart>
      <c:catAx>
        <c:axId val="317461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7446479"/>
        <c:crosses val="autoZero"/>
        <c:auto val="1"/>
        <c:lblAlgn val="ctr"/>
        <c:lblOffset val="100"/>
        <c:noMultiLvlLbl val="0"/>
      </c:catAx>
      <c:valAx>
        <c:axId val="317446479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7461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</a:t>
            </a:r>
            <a:r>
              <a:rPr lang="es-MX" baseline="0"/>
              <a:t> de pobreza baja california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'Baja California'!$C$13:$I$13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'Baja California'!$C$15:$I$15</c:f>
              <c:numCache>
                <c:formatCode>0.0</c:formatCode>
                <c:ptCount val="7"/>
                <c:pt idx="0">
                  <c:v>25.963622371680277</c:v>
                </c:pt>
                <c:pt idx="1">
                  <c:v>31.5201873293666</c:v>
                </c:pt>
                <c:pt idx="2">
                  <c:v>30.209375999052572</c:v>
                </c:pt>
                <c:pt idx="3">
                  <c:v>28.597979098791065</c:v>
                </c:pt>
                <c:pt idx="4">
                  <c:v>22.232681189636324</c:v>
                </c:pt>
                <c:pt idx="5">
                  <c:v>23.256853674609033</c:v>
                </c:pt>
                <c:pt idx="6">
                  <c:v>23.117336999999999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B-4645-A032-F4FE3A95716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7545615"/>
        <c:axId val="1017547279"/>
      </c:lineChart>
      <c:catAx>
        <c:axId val="10175456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7547279"/>
        <c:crosses val="autoZero"/>
        <c:auto val="1"/>
        <c:lblAlgn val="ctr"/>
        <c:lblOffset val="100"/>
        <c:noMultiLvlLbl val="0"/>
      </c:catAx>
      <c:valAx>
        <c:axId val="1017547279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7545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cap="all" baseline="0">
                <a:effectLst/>
              </a:rPr>
              <a:t>porcentaje de pobreza extrema baja california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'Baja California'!$K$13:$Q$13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'Baja California'!$C$17:$I$17</c:f>
              <c:numCache>
                <c:formatCode>0.0</c:formatCode>
                <c:ptCount val="7"/>
                <c:pt idx="0">
                  <c:v>3.3389820997699342</c:v>
                </c:pt>
                <c:pt idx="1">
                  <c:v>3.3729980271196101</c:v>
                </c:pt>
                <c:pt idx="2">
                  <c:v>2.7367722822555103</c:v>
                </c:pt>
                <c:pt idx="3">
                  <c:v>3.064538935637017</c:v>
                </c:pt>
                <c:pt idx="4">
                  <c:v>1.1179887978542369</c:v>
                </c:pt>
                <c:pt idx="5">
                  <c:v>1.6254691462661823</c:v>
                </c:pt>
                <c:pt idx="6">
                  <c:v>1.7207646999999999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2-4569-A9A1-FD50EAD7365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8504159"/>
        <c:axId val="567528639"/>
      </c:lineChart>
      <c:catAx>
        <c:axId val="10285041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7528639"/>
        <c:crosses val="autoZero"/>
        <c:auto val="1"/>
        <c:lblAlgn val="ctr"/>
        <c:lblOffset val="100"/>
        <c:noMultiLvlLbl val="0"/>
      </c:catAx>
      <c:valAx>
        <c:axId val="567528639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28504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cap="all" baseline="0">
                <a:effectLst/>
              </a:rPr>
              <a:t>porcentaje de pobreza baja california sur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'Baja California Sur'!$K$13:$Q$13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'Baja California Sur'!$C$15:$I$15</c:f>
              <c:numCache>
                <c:formatCode>0.0</c:formatCode>
                <c:ptCount val="7"/>
                <c:pt idx="0">
                  <c:v>21.36131411945291</c:v>
                </c:pt>
                <c:pt idx="1">
                  <c:v>30.994688762716887</c:v>
                </c:pt>
                <c:pt idx="2">
                  <c:v>30.108835356244139</c:v>
                </c:pt>
                <c:pt idx="3">
                  <c:v>30.26270555013798</c:v>
                </c:pt>
                <c:pt idx="4">
                  <c:v>22.126035335243913</c:v>
                </c:pt>
                <c:pt idx="5">
                  <c:v>18.071515765028138</c:v>
                </c:pt>
                <c:pt idx="6">
                  <c:v>27.351730000000003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0D-425D-943E-79FBB233E8E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6189759"/>
        <c:axId val="576190175"/>
      </c:lineChart>
      <c:catAx>
        <c:axId val="576189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6190175"/>
        <c:crosses val="autoZero"/>
        <c:auto val="1"/>
        <c:lblAlgn val="ctr"/>
        <c:lblOffset val="100"/>
        <c:noMultiLvlLbl val="0"/>
      </c:catAx>
      <c:valAx>
        <c:axId val="576190175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6189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cap="all" baseline="0">
                <a:effectLst/>
              </a:rPr>
              <a:t>porcentaje de pobreza extrema baja california sur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'Baja California Sur'!$K$13:$Q$13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'Baja California Sur'!$C$17:$I$17</c:f>
              <c:numCache>
                <c:formatCode>0.0</c:formatCode>
                <c:ptCount val="7"/>
                <c:pt idx="0">
                  <c:v>2.6763827022710385</c:v>
                </c:pt>
                <c:pt idx="1">
                  <c:v>4.6260296439730135</c:v>
                </c:pt>
                <c:pt idx="2">
                  <c:v>3.6755800135082373</c:v>
                </c:pt>
                <c:pt idx="3">
                  <c:v>3.9457332921330126</c:v>
                </c:pt>
                <c:pt idx="4">
                  <c:v>1.6077850911724878</c:v>
                </c:pt>
                <c:pt idx="5">
                  <c:v>1.4985559889242863</c:v>
                </c:pt>
                <c:pt idx="6">
                  <c:v>3.4986136999999999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BE-4C92-A928-DF621D090F3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5963455"/>
        <c:axId val="575961791"/>
      </c:lineChart>
      <c:catAx>
        <c:axId val="575963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5961791"/>
        <c:crosses val="autoZero"/>
        <c:auto val="1"/>
        <c:lblAlgn val="ctr"/>
        <c:lblOffset val="100"/>
        <c:noMultiLvlLbl val="0"/>
      </c:catAx>
      <c:valAx>
        <c:axId val="575961791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5963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cap="all" baseline="0">
                <a:effectLst/>
              </a:rPr>
              <a:t>porcentaje de pobreza campeche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Campeche!$K$13:$Q$13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Campeche!$C$15:$I$15</c:f>
              <c:numCache>
                <c:formatCode>0.0</c:formatCode>
                <c:ptCount val="7"/>
                <c:pt idx="0">
                  <c:v>45.857835424615509</c:v>
                </c:pt>
                <c:pt idx="1">
                  <c:v>50.504995327086156</c:v>
                </c:pt>
                <c:pt idx="2">
                  <c:v>44.664152681424333</c:v>
                </c:pt>
                <c:pt idx="3">
                  <c:v>43.587796812740123</c:v>
                </c:pt>
                <c:pt idx="4">
                  <c:v>43.767647373465692</c:v>
                </c:pt>
                <c:pt idx="5">
                  <c:v>46.249365994629727</c:v>
                </c:pt>
                <c:pt idx="6">
                  <c:v>48.537182000000001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C-4E0D-930D-185DA1A3CFD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0445487"/>
        <c:axId val="1100447151"/>
      </c:lineChart>
      <c:catAx>
        <c:axId val="11004454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0447151"/>
        <c:crosses val="autoZero"/>
        <c:auto val="1"/>
        <c:lblAlgn val="ctr"/>
        <c:lblOffset val="100"/>
        <c:noMultiLvlLbl val="0"/>
      </c:catAx>
      <c:valAx>
        <c:axId val="1100447151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0445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cap="all" baseline="0">
                <a:effectLst/>
              </a:rPr>
              <a:t>porcentaje de pobreza extrema campeche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Campeche!$K$13:$Q$13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Campeche!$C$17:$I$17</c:f>
              <c:numCache>
                <c:formatCode>0.0</c:formatCode>
                <c:ptCount val="7"/>
                <c:pt idx="0">
                  <c:v>11.948702946151123</c:v>
                </c:pt>
                <c:pt idx="1">
                  <c:v>13.784442700101057</c:v>
                </c:pt>
                <c:pt idx="2">
                  <c:v>10.448199430035407</c:v>
                </c:pt>
                <c:pt idx="3">
                  <c:v>11.062650371371298</c:v>
                </c:pt>
                <c:pt idx="4">
                  <c:v>6.6572943557580828</c:v>
                </c:pt>
                <c:pt idx="5">
                  <c:v>9.7708759722728313</c:v>
                </c:pt>
                <c:pt idx="6">
                  <c:v>11.863963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9-4847-B22D-FC1FCA6A0D4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0337967"/>
        <c:axId val="321912287"/>
      </c:lineChart>
      <c:catAx>
        <c:axId val="1000337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1912287"/>
        <c:crosses val="autoZero"/>
        <c:auto val="1"/>
        <c:lblAlgn val="ctr"/>
        <c:lblOffset val="100"/>
        <c:noMultiLvlLbl val="0"/>
      </c:catAx>
      <c:valAx>
        <c:axId val="321912287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0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cap="all" baseline="0">
                <a:effectLst/>
              </a:rPr>
              <a:t>porcentaje de pobreza coahuila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Coahuila!$K$13:$Q$13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Coahuila!$C$15:$I$15</c:f>
              <c:numCache>
                <c:formatCode>#,##0.0</c:formatCode>
                <c:ptCount val="7"/>
                <c:pt idx="0">
                  <c:v>32.716439255767639</c:v>
                </c:pt>
                <c:pt idx="1">
                  <c:v>27.810883753938132</c:v>
                </c:pt>
                <c:pt idx="2">
                  <c:v>27.925963168157566</c:v>
                </c:pt>
                <c:pt idx="3">
                  <c:v>30.171384894585824</c:v>
                </c:pt>
                <c:pt idx="4">
                  <c:v>24.815166356101564</c:v>
                </c:pt>
                <c:pt idx="5">
                  <c:v>22.486613851966787</c:v>
                </c:pt>
                <c:pt idx="6">
                  <c:v>23.580169999999999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0B-4774-AA7C-1DD34BC9BBF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8582223"/>
        <c:axId val="1018582639"/>
      </c:lineChart>
      <c:catAx>
        <c:axId val="1018582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8582639"/>
        <c:crosses val="autoZero"/>
        <c:auto val="1"/>
        <c:lblAlgn val="ctr"/>
        <c:lblOffset val="100"/>
        <c:noMultiLvlLbl val="0"/>
      </c:catAx>
      <c:valAx>
        <c:axId val="1018582639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85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 pobreza extrema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Nacional!$C$13:$I$13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Nacional!$C$17:$I$17</c:f>
              <c:numCache>
                <c:formatCode>#,##0.0</c:formatCode>
                <c:ptCount val="7"/>
                <c:pt idx="0">
                  <c:v>11.049905871885271</c:v>
                </c:pt>
                <c:pt idx="1">
                  <c:v>11.318990997961023</c:v>
                </c:pt>
                <c:pt idx="2">
                  <c:v>9.8280865084389308</c:v>
                </c:pt>
                <c:pt idx="3">
                  <c:v>9.5455025401734925</c:v>
                </c:pt>
                <c:pt idx="4">
                  <c:v>7.6450046835085104</c:v>
                </c:pt>
                <c:pt idx="5">
                  <c:v>7.4432148800195854</c:v>
                </c:pt>
                <c:pt idx="6">
                  <c:v>9.0446933999999999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B-4539-926C-B8E46EE221B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2281055"/>
        <c:axId val="612271071"/>
      </c:lineChart>
      <c:catAx>
        <c:axId val="612281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271071"/>
        <c:crosses val="autoZero"/>
        <c:auto val="1"/>
        <c:lblAlgn val="ctr"/>
        <c:lblOffset val="100"/>
        <c:noMultiLvlLbl val="0"/>
      </c:catAx>
      <c:valAx>
        <c:axId val="612271071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281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cap="all" baseline="0">
                <a:effectLst/>
              </a:rPr>
              <a:t>porcentaje de pobreza extrema coahuila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Coahuila!$K$13:$Q$13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Coahuila!$C$17:$I$17</c:f>
              <c:numCache>
                <c:formatCode>#,##0.0</c:formatCode>
                <c:ptCount val="7"/>
                <c:pt idx="0">
                  <c:v>3.0915619734405344</c:v>
                </c:pt>
                <c:pt idx="1">
                  <c:v>2.9366709318537794</c:v>
                </c:pt>
                <c:pt idx="2">
                  <c:v>3.2385873102776483</c:v>
                </c:pt>
                <c:pt idx="3">
                  <c:v>3.7368419618454363</c:v>
                </c:pt>
                <c:pt idx="4">
                  <c:v>1.6530314114892788</c:v>
                </c:pt>
                <c:pt idx="5">
                  <c:v>1.4487981667882974</c:v>
                </c:pt>
                <c:pt idx="6">
                  <c:v>2.2992977000000003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31-4705-AE75-81C7445B3D4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3237951"/>
        <c:axId val="1103238783"/>
      </c:lineChart>
      <c:catAx>
        <c:axId val="11032379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3238783"/>
        <c:crosses val="autoZero"/>
        <c:auto val="1"/>
        <c:lblAlgn val="ctr"/>
        <c:lblOffset val="100"/>
        <c:noMultiLvlLbl val="0"/>
      </c:catAx>
      <c:valAx>
        <c:axId val="1103238783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3237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cap="all" baseline="0">
                <a:effectLst/>
              </a:rPr>
              <a:t>porcentaje de pobreza colima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Colima!$K$13:$Q$13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Colima!$C$15:$I$15</c:f>
              <c:numCache>
                <c:formatCode>#,##0.0</c:formatCode>
                <c:ptCount val="7"/>
                <c:pt idx="0">
                  <c:v>27.410404532918186</c:v>
                </c:pt>
                <c:pt idx="1">
                  <c:v>34.692844411565737</c:v>
                </c:pt>
                <c:pt idx="2">
                  <c:v>34.415880256758477</c:v>
                </c:pt>
                <c:pt idx="3">
                  <c:v>34.34573738631488</c:v>
                </c:pt>
                <c:pt idx="4">
                  <c:v>33.631706637600175</c:v>
                </c:pt>
                <c:pt idx="5">
                  <c:v>30.86859688195991</c:v>
                </c:pt>
                <c:pt idx="6">
                  <c:v>27.811647999999998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0-4624-85EE-5CBF5E4956A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2133007"/>
        <c:axId val="1112136335"/>
      </c:lineChart>
      <c:catAx>
        <c:axId val="11121330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2136335"/>
        <c:crosses val="autoZero"/>
        <c:auto val="1"/>
        <c:lblAlgn val="ctr"/>
        <c:lblOffset val="100"/>
        <c:noMultiLvlLbl val="0"/>
      </c:catAx>
      <c:valAx>
        <c:axId val="1112136335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2133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cap="all" baseline="0">
                <a:effectLst/>
              </a:rPr>
              <a:t>porcentaje de pobreza extrema colima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Colima!$K$13:$Q$13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Colima!$C$17:$I$17</c:f>
              <c:numCache>
                <c:formatCode>#,##0.0</c:formatCode>
                <c:ptCount val="7"/>
                <c:pt idx="0">
                  <c:v>1.7418860290340681</c:v>
                </c:pt>
                <c:pt idx="1">
                  <c:v>2.5210970305204463</c:v>
                </c:pt>
                <c:pt idx="2">
                  <c:v>3.9797854929136052</c:v>
                </c:pt>
                <c:pt idx="3">
                  <c:v>3.4152511238806764</c:v>
                </c:pt>
                <c:pt idx="4">
                  <c:v>2.6075996613717689</c:v>
                </c:pt>
                <c:pt idx="5">
                  <c:v>2.3906720817502949</c:v>
                </c:pt>
                <c:pt idx="6">
                  <c:v>2.7102501999999999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A7-403C-9853-58BEC7A6DE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2049887"/>
        <c:axId val="1112046143"/>
      </c:lineChart>
      <c:catAx>
        <c:axId val="1112049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2046143"/>
        <c:crosses val="autoZero"/>
        <c:auto val="1"/>
        <c:lblAlgn val="ctr"/>
        <c:lblOffset val="100"/>
        <c:noMultiLvlLbl val="0"/>
      </c:catAx>
      <c:valAx>
        <c:axId val="1112046143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2049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cap="all" baseline="0">
                <a:effectLst/>
              </a:rPr>
              <a:t>porcentaje de pobreza chiapas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 Chiapas'!$K$13:$Q$13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 Chiapas'!$C$15:$I$15</c:f>
              <c:numCache>
                <c:formatCode>0.0</c:formatCode>
                <c:ptCount val="7"/>
                <c:pt idx="0">
                  <c:v>77.011597861333868</c:v>
                </c:pt>
                <c:pt idx="1">
                  <c:v>78.483396409951183</c:v>
                </c:pt>
                <c:pt idx="2">
                  <c:v>74.687344373186036</c:v>
                </c:pt>
                <c:pt idx="3">
                  <c:v>76.208532264627763</c:v>
                </c:pt>
                <c:pt idx="4">
                  <c:v>77.081386679897207</c:v>
                </c:pt>
                <c:pt idx="5">
                  <c:v>76.411031928808413</c:v>
                </c:pt>
                <c:pt idx="6">
                  <c:v>74.434644000000006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44-4CC7-9BC5-E9E790F3FCA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0338383"/>
        <c:axId val="1000333391"/>
      </c:lineChart>
      <c:catAx>
        <c:axId val="10003383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0333391"/>
        <c:crosses val="autoZero"/>
        <c:auto val="1"/>
        <c:lblAlgn val="ctr"/>
        <c:lblOffset val="100"/>
        <c:noMultiLvlLbl val="0"/>
      </c:catAx>
      <c:valAx>
        <c:axId val="1000333391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0338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cap="all" baseline="0">
                <a:effectLst/>
              </a:rPr>
              <a:t>porcentaje de pobreza extrema chiapas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 Chiapas'!$K$13:$Q$13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 Chiapas'!$C$17:$I$17</c:f>
              <c:numCache>
                <c:formatCode>0.0</c:formatCode>
                <c:ptCount val="7"/>
                <c:pt idx="0">
                  <c:v>38.70835106666653</c:v>
                </c:pt>
                <c:pt idx="1">
                  <c:v>38.272702101624674</c:v>
                </c:pt>
                <c:pt idx="2">
                  <c:v>32.17087878475526</c:v>
                </c:pt>
                <c:pt idx="3">
                  <c:v>31.829423970647792</c:v>
                </c:pt>
                <c:pt idx="4">
                  <c:v>28.079119365369277</c:v>
                </c:pt>
                <c:pt idx="5">
                  <c:v>29.712326264766141</c:v>
                </c:pt>
                <c:pt idx="6">
                  <c:v>28.195446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F0-47CB-849C-81202DA946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5443823"/>
        <c:axId val="1015447567"/>
      </c:lineChart>
      <c:catAx>
        <c:axId val="10154438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5447567"/>
        <c:crosses val="autoZero"/>
        <c:auto val="1"/>
        <c:lblAlgn val="ctr"/>
        <c:lblOffset val="100"/>
        <c:noMultiLvlLbl val="0"/>
      </c:catAx>
      <c:valAx>
        <c:axId val="1015447567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5443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cap="all" baseline="0">
                <a:effectLst/>
              </a:rPr>
              <a:t>porcentaje de pobreza chihuahua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Chihuahua!$K$13:$Q$13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Chihuahua!$C$15:$I$15</c:f>
              <c:numCache>
                <c:formatCode>0.0</c:formatCode>
                <c:ptCount val="7"/>
                <c:pt idx="0">
                  <c:v>32.071298638431543</c:v>
                </c:pt>
                <c:pt idx="1">
                  <c:v>38.806587959948921</c:v>
                </c:pt>
                <c:pt idx="2">
                  <c:v>35.254501239729748</c:v>
                </c:pt>
                <c:pt idx="3">
                  <c:v>34.390659341853826</c:v>
                </c:pt>
                <c:pt idx="4">
                  <c:v>30.60839305277705</c:v>
                </c:pt>
                <c:pt idx="5">
                  <c:v>26.280729994146668</c:v>
                </c:pt>
                <c:pt idx="6">
                  <c:v>25.499606000000004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D7-4FB8-8416-359CBB401DA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1033023"/>
        <c:axId val="1081027199"/>
      </c:lineChart>
      <c:catAx>
        <c:axId val="1081033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1027199"/>
        <c:crosses val="autoZero"/>
        <c:auto val="1"/>
        <c:lblAlgn val="ctr"/>
        <c:lblOffset val="100"/>
        <c:noMultiLvlLbl val="0"/>
      </c:catAx>
      <c:valAx>
        <c:axId val="1081027199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1033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cap="all" baseline="0">
                <a:effectLst/>
              </a:rPr>
              <a:t>porcentaje de pobreza extrema chihuahua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Chihuahua!$K$13:$Q$13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Chihuahua!$C$17:$I$17</c:f>
              <c:numCache>
                <c:formatCode>0.0</c:formatCode>
                <c:ptCount val="7"/>
                <c:pt idx="0">
                  <c:v>6.6906248077331618</c:v>
                </c:pt>
                <c:pt idx="1">
                  <c:v>6.5608548243302156</c:v>
                </c:pt>
                <c:pt idx="2">
                  <c:v>3.7752824675261718</c:v>
                </c:pt>
                <c:pt idx="3">
                  <c:v>5.4434725613003794</c:v>
                </c:pt>
                <c:pt idx="4">
                  <c:v>3.2171576774308943</c:v>
                </c:pt>
                <c:pt idx="5">
                  <c:v>2.6088615268835187</c:v>
                </c:pt>
                <c:pt idx="6">
                  <c:v>3.1659393000000002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1-4BB1-B562-25C3894411E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9372799"/>
        <c:axId val="1109373215"/>
      </c:lineChart>
      <c:catAx>
        <c:axId val="11093727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9373215"/>
        <c:crosses val="autoZero"/>
        <c:auto val="1"/>
        <c:lblAlgn val="ctr"/>
        <c:lblOffset val="100"/>
        <c:noMultiLvlLbl val="0"/>
      </c:catAx>
      <c:valAx>
        <c:axId val="1109373215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9372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cap="all" baseline="0">
                <a:effectLst/>
              </a:rPr>
              <a:t>porcentaje de pobreza ciudad de mexico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'Ciudad de México'!$K$13:$Q$13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'Ciudad de México'!$C$15:$I$15</c:f>
              <c:numCache>
                <c:formatCode>0.0</c:formatCode>
                <c:ptCount val="7"/>
                <c:pt idx="0">
                  <c:v>27.613291887458232</c:v>
                </c:pt>
                <c:pt idx="1">
                  <c:v>28.544146219903627</c:v>
                </c:pt>
                <c:pt idx="2">
                  <c:v>28.905748402945967</c:v>
                </c:pt>
                <c:pt idx="3">
                  <c:v>28.372344246593233</c:v>
                </c:pt>
                <c:pt idx="4">
                  <c:v>27.595406629792297</c:v>
                </c:pt>
                <c:pt idx="5">
                  <c:v>30.550435783251139</c:v>
                </c:pt>
                <c:pt idx="6" formatCode="#,##0.0">
                  <c:v>34.189500000000002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0F-4218-B06F-05537CFE504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262895"/>
        <c:axId val="991263311"/>
      </c:lineChart>
      <c:catAx>
        <c:axId val="9912628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263311"/>
        <c:crosses val="autoZero"/>
        <c:auto val="1"/>
        <c:lblAlgn val="ctr"/>
        <c:lblOffset val="100"/>
        <c:noMultiLvlLbl val="0"/>
      </c:catAx>
      <c:valAx>
        <c:axId val="991263311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262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cap="all" baseline="0">
                <a:effectLst/>
              </a:rPr>
              <a:t>porcentaje de pobreza extrema ciudad de mexico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'Ciudad de México'!$K$13:$Q$13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'Ciudad de México'!$C$17:$I$17</c:f>
              <c:numCache>
                <c:formatCode>0.0</c:formatCode>
                <c:ptCount val="7"/>
                <c:pt idx="0">
                  <c:v>2.1173144040542802</c:v>
                </c:pt>
                <c:pt idx="1">
                  <c:v>2.1643286347686286</c:v>
                </c:pt>
                <c:pt idx="2">
                  <c:v>2.4679490574299434</c:v>
                </c:pt>
                <c:pt idx="3">
                  <c:v>1.706682104140363</c:v>
                </c:pt>
                <c:pt idx="4">
                  <c:v>1.7584530220152359</c:v>
                </c:pt>
                <c:pt idx="5">
                  <c:v>1.7461166123752536</c:v>
                </c:pt>
                <c:pt idx="6" formatCode="#,##0.0">
                  <c:v>4.7268100000000004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F2-49A6-BAF3-F8DC43381C3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9381951"/>
        <c:axId val="575602191"/>
      </c:lineChart>
      <c:catAx>
        <c:axId val="11093819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5602191"/>
        <c:crosses val="autoZero"/>
        <c:auto val="1"/>
        <c:lblAlgn val="ctr"/>
        <c:lblOffset val="100"/>
        <c:noMultiLvlLbl val="0"/>
      </c:catAx>
      <c:valAx>
        <c:axId val="575602191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9381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cap="all" baseline="0">
                <a:effectLst/>
              </a:rPr>
              <a:t>porcentaje de pobreza durango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Durango!$K$13:$Q$13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Durango!$C$15:$I$15</c:f>
              <c:numCache>
                <c:formatCode>0.0</c:formatCode>
                <c:ptCount val="7"/>
                <c:pt idx="0">
                  <c:v>48.437835670852067</c:v>
                </c:pt>
                <c:pt idx="1">
                  <c:v>51.574162159710383</c:v>
                </c:pt>
                <c:pt idx="2">
                  <c:v>50.056664358118738</c:v>
                </c:pt>
                <c:pt idx="3">
                  <c:v>43.464438529237455</c:v>
                </c:pt>
                <c:pt idx="4">
                  <c:v>35.988916314031059</c:v>
                </c:pt>
                <c:pt idx="5">
                  <c:v>37.349758889242835</c:v>
                </c:pt>
                <c:pt idx="6" formatCode="#,##0.0">
                  <c:v>37.592399999999998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8D-45F5-B3B7-57F29BEAF18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73257839"/>
        <c:axId val="1073280719"/>
      </c:lineChart>
      <c:catAx>
        <c:axId val="1073257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3280719"/>
        <c:crosses val="autoZero"/>
        <c:auto val="1"/>
        <c:lblAlgn val="ctr"/>
        <c:lblOffset val="100"/>
        <c:noMultiLvlLbl val="0"/>
      </c:catAx>
      <c:valAx>
        <c:axId val="1073280719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3257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</a:t>
            </a:r>
            <a:r>
              <a:rPr lang="es-MX" baseline="0"/>
              <a:t> de pobreza urbana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4"/>
              <c:layout>
                <c:manualLayout>
                  <c:x val="-2.4930664916885389E-2"/>
                  <c:y val="-7.8669072615923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74-4393-860F-7FA117B90257}"/>
                </c:ext>
              </c:extLst>
            </c:dLbl>
            <c:dLbl>
              <c:idx val="5"/>
              <c:layout>
                <c:manualLayout>
                  <c:x val="-5.8263998250218822E-2"/>
                  <c:y val="-0.1018172207640712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74-4393-860F-7FA117B902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Rural_Urbano!$C$13:$I$13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Rural_Urbano!$C$15:$I$15</c:f>
              <c:numCache>
                <c:formatCode>#,##0.0</c:formatCode>
                <c:ptCount val="7"/>
                <c:pt idx="0">
                  <c:v>38.887717000000002</c:v>
                </c:pt>
                <c:pt idx="1">
                  <c:v>40.430543</c:v>
                </c:pt>
                <c:pt idx="2">
                  <c:v>40.626132999999996</c:v>
                </c:pt>
                <c:pt idx="3">
                  <c:v>41.652212999999996</c:v>
                </c:pt>
                <c:pt idx="4">
                  <c:v>39.156816999999997</c:v>
                </c:pt>
                <c:pt idx="5">
                  <c:v>37.564037999999996</c:v>
                </c:pt>
                <c:pt idx="6">
                  <c:v>41.452247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74-4393-860F-7FA117B902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587887"/>
        <c:axId val="988587055"/>
      </c:lineChart>
      <c:catAx>
        <c:axId val="988587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88587055"/>
        <c:crosses val="autoZero"/>
        <c:auto val="1"/>
        <c:lblAlgn val="ctr"/>
        <c:lblOffset val="100"/>
        <c:noMultiLvlLbl val="0"/>
      </c:catAx>
      <c:valAx>
        <c:axId val="988587055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88587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cap="all" baseline="0">
                <a:effectLst/>
              </a:rPr>
              <a:t>porcentaje de pobreza extrema durango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Durango!$K$13:$Q$13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Durango!$C$17:$I$17</c:f>
              <c:numCache>
                <c:formatCode>0.0</c:formatCode>
                <c:ptCount val="7"/>
                <c:pt idx="0">
                  <c:v>11.454566041662204</c:v>
                </c:pt>
                <c:pt idx="1">
                  <c:v>10.474421058536917</c:v>
                </c:pt>
                <c:pt idx="2">
                  <c:v>7.4635470955435697</c:v>
                </c:pt>
                <c:pt idx="3">
                  <c:v>5.3099260142353222</c:v>
                </c:pt>
                <c:pt idx="4">
                  <c:v>2.7728795429573951</c:v>
                </c:pt>
                <c:pt idx="5">
                  <c:v>2.2195371112844229</c:v>
                </c:pt>
                <c:pt idx="6" formatCode="#,##0.0">
                  <c:v>4.3720599999999994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E6-4C60-9C24-400D369DA73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671295"/>
        <c:axId val="993672959"/>
      </c:lineChart>
      <c:catAx>
        <c:axId val="993671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3672959"/>
        <c:crosses val="autoZero"/>
        <c:auto val="1"/>
        <c:lblAlgn val="ctr"/>
        <c:lblOffset val="100"/>
        <c:noMultiLvlLbl val="0"/>
      </c:catAx>
      <c:valAx>
        <c:axId val="993672959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3671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cap="all" baseline="0">
                <a:effectLst/>
              </a:rPr>
              <a:t>porcentaje de pobreza guanajuato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Guanajuato!$K$13:$Q$13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Guanajuato!$C$15:$I$15</c:f>
              <c:numCache>
                <c:formatCode>0.0</c:formatCode>
                <c:ptCount val="7"/>
                <c:pt idx="0">
                  <c:v>44.058458288033989</c:v>
                </c:pt>
                <c:pt idx="1">
                  <c:v>48.512294213513577</c:v>
                </c:pt>
                <c:pt idx="2">
                  <c:v>44.46664388627196</c:v>
                </c:pt>
                <c:pt idx="3">
                  <c:v>46.554997309011839</c:v>
                </c:pt>
                <c:pt idx="4">
                  <c:v>42.359893077516084</c:v>
                </c:pt>
                <c:pt idx="5">
                  <c:v>43.383853861412163</c:v>
                </c:pt>
                <c:pt idx="6" formatCode="#,##0.0">
                  <c:v>44.452199999999998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9E-495D-B50C-D8B94BFBDA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0443407"/>
        <c:axId val="1100444239"/>
      </c:lineChart>
      <c:catAx>
        <c:axId val="11004434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0444239"/>
        <c:crosses val="autoZero"/>
        <c:auto val="1"/>
        <c:lblAlgn val="ctr"/>
        <c:lblOffset val="100"/>
        <c:noMultiLvlLbl val="0"/>
      </c:catAx>
      <c:valAx>
        <c:axId val="1100444239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0443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cap="all" baseline="0">
                <a:effectLst/>
              </a:rPr>
              <a:t>porcentaje de pobreza extrema guanajuato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Guanajuato!$K$13:$Q$13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Guanajuato!$C$17:$I$17</c:f>
              <c:numCache>
                <c:formatCode>0.0</c:formatCode>
                <c:ptCount val="7"/>
                <c:pt idx="0">
                  <c:v>7.8965578364245035</c:v>
                </c:pt>
                <c:pt idx="1">
                  <c:v>8.4240020253662404</c:v>
                </c:pt>
                <c:pt idx="2">
                  <c:v>6.8983929258952346</c:v>
                </c:pt>
                <c:pt idx="3">
                  <c:v>5.5103144135988078</c:v>
                </c:pt>
                <c:pt idx="4">
                  <c:v>4.382453918985342</c:v>
                </c:pt>
                <c:pt idx="5">
                  <c:v>4.2457897510933842</c:v>
                </c:pt>
                <c:pt idx="6" formatCode="#,##0.0">
                  <c:v>5.5041600000000006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5E-4276-8425-906F6FD0668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1445135"/>
        <c:axId val="1081448463"/>
      </c:lineChart>
      <c:catAx>
        <c:axId val="1081445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1448463"/>
        <c:crosses val="autoZero"/>
        <c:auto val="1"/>
        <c:lblAlgn val="ctr"/>
        <c:lblOffset val="100"/>
        <c:noMultiLvlLbl val="0"/>
      </c:catAx>
      <c:valAx>
        <c:axId val="108144846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1445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cap="all" baseline="0">
                <a:effectLst/>
              </a:rPr>
              <a:t>porcentaje de pobreza guerrero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Guerrero!$K$13:$Q$13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Guerrero!$C$15:$I$15</c:f>
              <c:numCache>
                <c:formatCode>0.0</c:formatCode>
                <c:ptCount val="7"/>
                <c:pt idx="0">
                  <c:v>68.443182485430441</c:v>
                </c:pt>
                <c:pt idx="1">
                  <c:v>67.570571102686074</c:v>
                </c:pt>
                <c:pt idx="2">
                  <c:v>69.696149241842392</c:v>
                </c:pt>
                <c:pt idx="3">
                  <c:v>65.218074656188605</c:v>
                </c:pt>
                <c:pt idx="4">
                  <c:v>64.407395586877996</c:v>
                </c:pt>
                <c:pt idx="5">
                  <c:v>66.469488282274725</c:v>
                </c:pt>
                <c:pt idx="6" formatCode="#,##0.0">
                  <c:v>65.617099999999994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4A-4202-BCB9-F9ED2BF48C9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1031775"/>
        <c:axId val="1081028863"/>
      </c:lineChart>
      <c:catAx>
        <c:axId val="108103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1028863"/>
        <c:crosses val="autoZero"/>
        <c:auto val="1"/>
        <c:lblAlgn val="ctr"/>
        <c:lblOffset val="100"/>
        <c:noMultiLvlLbl val="0"/>
      </c:catAx>
      <c:valAx>
        <c:axId val="108102886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1031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cap="all" baseline="0">
                <a:effectLst/>
              </a:rPr>
              <a:t>porcentaje de pobreza extrema guerrero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Guerrero!$K$13:$Q$13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Guerrero!$C$17:$I$17</c:f>
              <c:numCache>
                <c:formatCode>0.0</c:formatCode>
                <c:ptCount val="7"/>
                <c:pt idx="0">
                  <c:v>32.405246604764052</c:v>
                </c:pt>
                <c:pt idx="1">
                  <c:v>31.8299257958308</c:v>
                </c:pt>
                <c:pt idx="2">
                  <c:v>31.711437926024999</c:v>
                </c:pt>
                <c:pt idx="3">
                  <c:v>24.452387491109846</c:v>
                </c:pt>
                <c:pt idx="4">
                  <c:v>22.961690632918859</c:v>
                </c:pt>
                <c:pt idx="5">
                  <c:v>26.768543236874187</c:v>
                </c:pt>
                <c:pt idx="6" formatCode="#,##0.0">
                  <c:v>26.885599999999997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80-4B17-9251-5E20448F06D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4883039"/>
        <c:axId val="1104871807"/>
      </c:lineChart>
      <c:catAx>
        <c:axId val="1104883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4871807"/>
        <c:crosses val="autoZero"/>
        <c:auto val="1"/>
        <c:lblAlgn val="ctr"/>
        <c:lblOffset val="100"/>
        <c:noMultiLvlLbl val="0"/>
      </c:catAx>
      <c:valAx>
        <c:axId val="1104871807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4883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cap="all" baseline="0">
                <a:effectLst/>
              </a:rPr>
              <a:t>porcentaje de pobreza Hidalgo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Hidalgo!$K$13:$Q$13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Hidalgo!$C$15:$I$15</c:f>
              <c:numCache>
                <c:formatCode>0.0</c:formatCode>
                <c:ptCount val="7"/>
                <c:pt idx="0">
                  <c:v>55.181786837282878</c:v>
                </c:pt>
                <c:pt idx="1">
                  <c:v>54.668455080175114</c:v>
                </c:pt>
                <c:pt idx="2">
                  <c:v>52.773120739590063</c:v>
                </c:pt>
                <c:pt idx="3">
                  <c:v>54.303553034491856</c:v>
                </c:pt>
                <c:pt idx="4">
                  <c:v>50.620330407023694</c:v>
                </c:pt>
                <c:pt idx="5">
                  <c:v>43.845155490931852</c:v>
                </c:pt>
                <c:pt idx="6" formatCode="#,##0.0">
                  <c:v>45.663199999999996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1C-4962-B163-5FFA562030E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9371135"/>
        <c:axId val="1109376959"/>
      </c:lineChart>
      <c:catAx>
        <c:axId val="1109371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9376959"/>
        <c:crosses val="autoZero"/>
        <c:auto val="1"/>
        <c:lblAlgn val="ctr"/>
        <c:lblOffset val="100"/>
        <c:noMultiLvlLbl val="0"/>
      </c:catAx>
      <c:valAx>
        <c:axId val="1109376959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9371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extrema Hidalgo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Hidalgo!$K$13:$Q$13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Hidalgo!$C$17:$I$17</c:f>
              <c:numCache>
                <c:formatCode>0.0</c:formatCode>
                <c:ptCount val="7"/>
                <c:pt idx="0">
                  <c:v>15.338104328374527</c:v>
                </c:pt>
                <c:pt idx="1">
                  <c:v>13.472209268068083</c:v>
                </c:pt>
                <c:pt idx="2">
                  <c:v>9.9617856866426315</c:v>
                </c:pt>
                <c:pt idx="3">
                  <c:v>12.295424755885003</c:v>
                </c:pt>
                <c:pt idx="4">
                  <c:v>8.0185813302882458</c:v>
                </c:pt>
                <c:pt idx="5">
                  <c:v>6.0687161133838279</c:v>
                </c:pt>
                <c:pt idx="6" formatCode="#,##0.0">
                  <c:v>7.2408200000000003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D-4DF0-BF4A-D51B92F527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3235455"/>
        <c:axId val="1107678479"/>
      </c:lineChart>
      <c:catAx>
        <c:axId val="1103235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7678479"/>
        <c:crosses val="autoZero"/>
        <c:auto val="1"/>
        <c:lblAlgn val="ctr"/>
        <c:lblOffset val="100"/>
        <c:noMultiLvlLbl val="0"/>
      </c:catAx>
      <c:valAx>
        <c:axId val="1107678479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3235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jalisco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Jalisco!$K$13:$Q$13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Jalisco!$C$15:$I$15</c:f>
              <c:numCache>
                <c:formatCode>0.0</c:formatCode>
                <c:ptCount val="7"/>
                <c:pt idx="0">
                  <c:v>36.693009095035599</c:v>
                </c:pt>
                <c:pt idx="1">
                  <c:v>37.049731225094249</c:v>
                </c:pt>
                <c:pt idx="2">
                  <c:v>39.789097736124255</c:v>
                </c:pt>
                <c:pt idx="3">
                  <c:v>35.368405545880911</c:v>
                </c:pt>
                <c:pt idx="4">
                  <c:v>31.814014535891765</c:v>
                </c:pt>
                <c:pt idx="5">
                  <c:v>28.429172396238648</c:v>
                </c:pt>
                <c:pt idx="6" formatCode="#,##0.0">
                  <c:v>32.587500000000006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C0-416E-9228-62A2EB07C7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8576815"/>
        <c:axId val="1018580143"/>
      </c:lineChart>
      <c:catAx>
        <c:axId val="1018576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8580143"/>
        <c:crosses val="autoZero"/>
        <c:auto val="1"/>
        <c:lblAlgn val="ctr"/>
        <c:lblOffset val="100"/>
        <c:noMultiLvlLbl val="0"/>
      </c:catAx>
      <c:valAx>
        <c:axId val="101858014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8576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extrema jalisco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Jalisco!$K$13:$Q$13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Jalisco!$C$17:$I$17</c:f>
              <c:numCache>
                <c:formatCode>0.0</c:formatCode>
                <c:ptCount val="7"/>
                <c:pt idx="0">
                  <c:v>4.4334380134954134</c:v>
                </c:pt>
                <c:pt idx="1">
                  <c:v>5.2547198148324963</c:v>
                </c:pt>
                <c:pt idx="2">
                  <c:v>5.8187939559035105</c:v>
                </c:pt>
                <c:pt idx="3">
                  <c:v>3.221383498501988</c:v>
                </c:pt>
                <c:pt idx="4">
                  <c:v>1.8000705461762494</c:v>
                </c:pt>
                <c:pt idx="5">
                  <c:v>2.9737345110013256</c:v>
                </c:pt>
                <c:pt idx="6" formatCode="#,##0.0">
                  <c:v>3.4759400000000005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26-4D6A-BFEF-A3188EA693D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0441743"/>
        <c:axId val="1100442575"/>
      </c:lineChart>
      <c:catAx>
        <c:axId val="1100441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0442575"/>
        <c:crosses val="autoZero"/>
        <c:auto val="1"/>
        <c:lblAlgn val="ctr"/>
        <c:lblOffset val="100"/>
        <c:noMultiLvlLbl val="0"/>
      </c:catAx>
      <c:valAx>
        <c:axId val="1100442575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0441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méxico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México!$C$15:$I$15</c:f>
              <c:numCache>
                <c:formatCode>0.0</c:formatCode>
                <c:ptCount val="7"/>
                <c:pt idx="0">
                  <c:v>43.565631543062558</c:v>
                </c:pt>
                <c:pt idx="1">
                  <c:v>42.891414470606819</c:v>
                </c:pt>
                <c:pt idx="2">
                  <c:v>45.334379894932276</c:v>
                </c:pt>
                <c:pt idx="3">
                  <c:v>49.60000806089527</c:v>
                </c:pt>
                <c:pt idx="4">
                  <c:v>47.87582789575842</c:v>
                </c:pt>
                <c:pt idx="5">
                  <c:v>42.716003862390536</c:v>
                </c:pt>
                <c:pt idx="6" formatCode="#,##0.0">
                  <c:v>50.761699999999998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D8-44A0-BE6B-08345AB4F6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3961359"/>
        <c:axId val="1113965103"/>
      </c:lineChart>
      <c:catAx>
        <c:axId val="1113961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5103"/>
        <c:crosses val="autoZero"/>
        <c:auto val="1"/>
        <c:lblAlgn val="ctr"/>
        <c:lblOffset val="100"/>
        <c:noMultiLvlLbl val="0"/>
      </c:catAx>
      <c:valAx>
        <c:axId val="111396510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1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 de</a:t>
            </a:r>
            <a:r>
              <a:rPr lang="es-MX" baseline="0"/>
              <a:t> pobreza extrema urbana</a:t>
            </a:r>
            <a:r>
              <a:rPr lang="es-MX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Rural_Urbano!$C$13:$I$13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Rural_Urbano!$C$17:$I$17</c:f>
              <c:numCache>
                <c:formatCode>#,##0.0</c:formatCode>
                <c:ptCount val="7"/>
                <c:pt idx="0">
                  <c:v>6.2107747999999994</c:v>
                </c:pt>
                <c:pt idx="1">
                  <c:v>6.7468245999999992</c:v>
                </c:pt>
                <c:pt idx="2">
                  <c:v>6.3067961000000006</c:v>
                </c:pt>
                <c:pt idx="3">
                  <c:v>6.2141662999999996</c:v>
                </c:pt>
                <c:pt idx="4">
                  <c:v>4.7070239000000003</c:v>
                </c:pt>
                <c:pt idx="5">
                  <c:v>4.5233495999999995</c:v>
                </c:pt>
                <c:pt idx="6">
                  <c:v>6.6940600000000003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EF-4479-85C0-503E4EC9B01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4430463"/>
        <c:axId val="994447519"/>
      </c:lineChart>
      <c:catAx>
        <c:axId val="9944304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4447519"/>
        <c:crosses val="autoZero"/>
        <c:auto val="1"/>
        <c:lblAlgn val="ctr"/>
        <c:lblOffset val="100"/>
        <c:noMultiLvlLbl val="0"/>
      </c:catAx>
      <c:valAx>
        <c:axId val="994447519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4430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extrema mÉxico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México!$C$17:$I$17</c:f>
              <c:numCache>
                <c:formatCode>0.0</c:formatCode>
                <c:ptCount val="7"/>
                <c:pt idx="0">
                  <c:v>6.9305873677148595</c:v>
                </c:pt>
                <c:pt idx="1">
                  <c:v>8.5706721530460612</c:v>
                </c:pt>
                <c:pt idx="2">
                  <c:v>5.8497444691479394</c:v>
                </c:pt>
                <c:pt idx="3">
                  <c:v>7.2383360824744738</c:v>
                </c:pt>
                <c:pt idx="4">
                  <c:v>6.1484215816195258</c:v>
                </c:pt>
                <c:pt idx="5">
                  <c:v>4.9004292180255389</c:v>
                </c:pt>
                <c:pt idx="6" formatCode="#,##0.0">
                  <c:v>8.2815799999999999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B9-40D9-BD0B-D8DA6A8A296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9001071"/>
        <c:axId val="1208989423"/>
      </c:lineChart>
      <c:catAx>
        <c:axId val="12090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8989423"/>
        <c:crosses val="autoZero"/>
        <c:auto val="1"/>
        <c:lblAlgn val="ctr"/>
        <c:lblOffset val="100"/>
        <c:noMultiLvlLbl val="0"/>
      </c:catAx>
      <c:valAx>
        <c:axId val="120898942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90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michoacán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Michoacán!$C$15:$I$15</c:f>
              <c:numCache>
                <c:formatCode>0.0</c:formatCode>
                <c:ptCount val="7"/>
                <c:pt idx="0">
                  <c:v>55.472533115416681</c:v>
                </c:pt>
                <c:pt idx="1">
                  <c:v>54.72822304055439</c:v>
                </c:pt>
                <c:pt idx="2">
                  <c:v>54.366622702955311</c:v>
                </c:pt>
                <c:pt idx="3">
                  <c:v>59.247331702296833</c:v>
                </c:pt>
                <c:pt idx="4">
                  <c:v>55.337951691208843</c:v>
                </c:pt>
                <c:pt idx="5">
                  <c:v>46.044515362029678</c:v>
                </c:pt>
                <c:pt idx="6" formatCode="#,##0.0">
                  <c:v>45.561700000000002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95-4356-AA8F-F18CA7DFBF3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3961359"/>
        <c:axId val="1113965103"/>
      </c:lineChart>
      <c:catAx>
        <c:axId val="1113961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5103"/>
        <c:crosses val="autoZero"/>
        <c:auto val="1"/>
        <c:lblAlgn val="ctr"/>
        <c:lblOffset val="100"/>
        <c:noMultiLvlLbl val="0"/>
      </c:catAx>
      <c:valAx>
        <c:axId val="111396510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1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extrema michoacán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Michoacán!$C$17:$I$17</c:f>
              <c:numCache>
                <c:formatCode>0.0</c:formatCode>
                <c:ptCount val="7"/>
                <c:pt idx="0">
                  <c:v>15.388983061765751</c:v>
                </c:pt>
                <c:pt idx="1">
                  <c:v>13.495837670503841</c:v>
                </c:pt>
                <c:pt idx="2">
                  <c:v>14.445122138120093</c:v>
                </c:pt>
                <c:pt idx="3">
                  <c:v>14.039549536445135</c:v>
                </c:pt>
                <c:pt idx="4">
                  <c:v>9.3890434883504756</c:v>
                </c:pt>
                <c:pt idx="5">
                  <c:v>6.05614832604161</c:v>
                </c:pt>
                <c:pt idx="6" formatCode="#,##0.0">
                  <c:v>8.4077000000000002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0-4DF6-95B3-1AC124D8DE4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9001071"/>
        <c:axId val="1208989423"/>
      </c:lineChart>
      <c:catAx>
        <c:axId val="12090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8989423"/>
        <c:crosses val="autoZero"/>
        <c:auto val="1"/>
        <c:lblAlgn val="ctr"/>
        <c:lblOffset val="100"/>
        <c:noMultiLvlLbl val="0"/>
      </c:catAx>
      <c:valAx>
        <c:axId val="120898942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90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morelos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Morelos!$C$15:$I$15</c:f>
              <c:numCache>
                <c:formatCode>0.0</c:formatCode>
                <c:ptCount val="7"/>
                <c:pt idx="0">
                  <c:v>48.826377150066698</c:v>
                </c:pt>
                <c:pt idx="1">
                  <c:v>43.242243627415476</c:v>
                </c:pt>
                <c:pt idx="2">
                  <c:v>45.452228379534731</c:v>
                </c:pt>
                <c:pt idx="3">
                  <c:v>52.271976501728489</c:v>
                </c:pt>
                <c:pt idx="4">
                  <c:v>49.544642664781698</c:v>
                </c:pt>
                <c:pt idx="5">
                  <c:v>50.815566999999994</c:v>
                </c:pt>
                <c:pt idx="6" formatCode="#,##0.0">
                  <c:v>52.632853000000004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C2-473B-8625-2DBA2C2EDE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3961359"/>
        <c:axId val="1113965103"/>
      </c:lineChart>
      <c:catAx>
        <c:axId val="1113961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5103"/>
        <c:crosses val="autoZero"/>
        <c:auto val="1"/>
        <c:lblAlgn val="ctr"/>
        <c:lblOffset val="100"/>
        <c:noMultiLvlLbl val="0"/>
      </c:catAx>
      <c:valAx>
        <c:axId val="111396510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1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extrema morelos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Morelos!$C$17:$I$17</c:f>
              <c:numCache>
                <c:formatCode>0.0</c:formatCode>
                <c:ptCount val="7"/>
                <c:pt idx="0">
                  <c:v>8.7164135256282886</c:v>
                </c:pt>
                <c:pt idx="1">
                  <c:v>6.9342543107237216</c:v>
                </c:pt>
                <c:pt idx="2">
                  <c:v>6.3139755187553757</c:v>
                </c:pt>
                <c:pt idx="3">
                  <c:v>7.8516587448371338</c:v>
                </c:pt>
                <c:pt idx="4">
                  <c:v>5.9187220242754659</c:v>
                </c:pt>
                <c:pt idx="5">
                  <c:v>7.3703208000000009</c:v>
                </c:pt>
                <c:pt idx="6" formatCode="#,##0.0">
                  <c:v>9.5834109000000005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9A-4579-A569-9F20EAC9389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9001071"/>
        <c:axId val="1208989423"/>
      </c:lineChart>
      <c:catAx>
        <c:axId val="12090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8989423"/>
        <c:crosses val="autoZero"/>
        <c:auto val="1"/>
        <c:lblAlgn val="ctr"/>
        <c:lblOffset val="100"/>
        <c:noMultiLvlLbl val="0"/>
      </c:catAx>
      <c:valAx>
        <c:axId val="120898942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90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nayarit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Nayarit!$C$15:$I$15</c:f>
              <c:numCache>
                <c:formatCode>0.0</c:formatCode>
                <c:ptCount val="7"/>
                <c:pt idx="0">
                  <c:v>41.74583703453041</c:v>
                </c:pt>
                <c:pt idx="1">
                  <c:v>41.357299066853528</c:v>
                </c:pt>
                <c:pt idx="2">
                  <c:v>47.625307795419076</c:v>
                </c:pt>
                <c:pt idx="3">
                  <c:v>40.503312663023124</c:v>
                </c:pt>
                <c:pt idx="4">
                  <c:v>37.525532256249264</c:v>
                </c:pt>
                <c:pt idx="5">
                  <c:v>34.770426239468541</c:v>
                </c:pt>
                <c:pt idx="6" formatCode="#,##0.0">
                  <c:v>30.535810000000001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9D-4995-8630-7B3B3E683D1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3961359"/>
        <c:axId val="1113965103"/>
      </c:lineChart>
      <c:catAx>
        <c:axId val="1113961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5103"/>
        <c:crosses val="autoZero"/>
        <c:auto val="1"/>
        <c:lblAlgn val="ctr"/>
        <c:lblOffset val="100"/>
        <c:noMultiLvlLbl val="0"/>
      </c:catAx>
      <c:valAx>
        <c:axId val="111396510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1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extrema nayarit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Nayarit!$C$17:$I$17</c:f>
              <c:numCache>
                <c:formatCode>0.0</c:formatCode>
                <c:ptCount val="7"/>
                <c:pt idx="0">
                  <c:v>6.2207370434602787</c:v>
                </c:pt>
                <c:pt idx="1">
                  <c:v>8.3101772772064617</c:v>
                </c:pt>
                <c:pt idx="2">
                  <c:v>11.932223921920196</c:v>
                </c:pt>
                <c:pt idx="3">
                  <c:v>8.4629508718319251</c:v>
                </c:pt>
                <c:pt idx="4">
                  <c:v>7.9301451836526509</c:v>
                </c:pt>
                <c:pt idx="5">
                  <c:v>5.8788832542887253</c:v>
                </c:pt>
                <c:pt idx="6" formatCode="#,##0.0">
                  <c:v>4.0917599999999998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DA-457D-B211-CBF7EFFA394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9001071"/>
        <c:axId val="1208989423"/>
      </c:lineChart>
      <c:catAx>
        <c:axId val="12090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8989423"/>
        <c:crosses val="autoZero"/>
        <c:auto val="1"/>
        <c:lblAlgn val="ctr"/>
        <c:lblOffset val="100"/>
        <c:noMultiLvlLbl val="0"/>
      </c:catAx>
      <c:valAx>
        <c:axId val="120898942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90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nuevo león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'Nuevo León'!$C$15:$I$15</c:f>
              <c:numCache>
                <c:formatCode>0.0</c:formatCode>
                <c:ptCount val="7"/>
                <c:pt idx="0">
                  <c:v>21.365400006521767</c:v>
                </c:pt>
                <c:pt idx="1">
                  <c:v>21.017552476935002</c:v>
                </c:pt>
                <c:pt idx="2">
                  <c:v>23.246786025752833</c:v>
                </c:pt>
                <c:pt idx="3">
                  <c:v>20.366180797960542</c:v>
                </c:pt>
                <c:pt idx="4">
                  <c:v>14.245565186496773</c:v>
                </c:pt>
                <c:pt idx="5">
                  <c:v>14.527048930327377</c:v>
                </c:pt>
                <c:pt idx="6" formatCode="#,##0.0">
                  <c:v>19.697490000000002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13-4D47-9D8A-90BBA103A7F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3961359"/>
        <c:axId val="1113965103"/>
      </c:lineChart>
      <c:catAx>
        <c:axId val="1113961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5103"/>
        <c:crosses val="autoZero"/>
        <c:auto val="1"/>
        <c:lblAlgn val="ctr"/>
        <c:lblOffset val="100"/>
        <c:noMultiLvlLbl val="0"/>
      </c:catAx>
      <c:valAx>
        <c:axId val="111396510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1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extrema nuevo león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'Nuevo León'!$C$17:$I$17</c:f>
              <c:numCache>
                <c:formatCode>0.0</c:formatCode>
                <c:ptCount val="7"/>
                <c:pt idx="0">
                  <c:v>2.5979835480738571</c:v>
                </c:pt>
                <c:pt idx="1">
                  <c:v>1.8257763221634471</c:v>
                </c:pt>
                <c:pt idx="2">
                  <c:v>2.411737546811676</c:v>
                </c:pt>
                <c:pt idx="3">
                  <c:v>1.3284871917569394</c:v>
                </c:pt>
                <c:pt idx="4">
                  <c:v>0.60806231427076352</c:v>
                </c:pt>
                <c:pt idx="5">
                  <c:v>0.47418854900333579</c:v>
                </c:pt>
                <c:pt idx="6" formatCode="#,##0.0">
                  <c:v>1.45733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D1-4338-A7FB-AD2B61ECA5C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9001071"/>
        <c:axId val="1208989423"/>
      </c:lineChart>
      <c:catAx>
        <c:axId val="12090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8989423"/>
        <c:crosses val="autoZero"/>
        <c:auto val="1"/>
        <c:lblAlgn val="ctr"/>
        <c:lblOffset val="100"/>
        <c:noMultiLvlLbl val="0"/>
      </c:catAx>
      <c:valAx>
        <c:axId val="120898942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90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oaxaca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Oaxaca!$C$15:$I$15</c:f>
              <c:numCache>
                <c:formatCode>0.0</c:formatCode>
                <c:ptCount val="7"/>
                <c:pt idx="0">
                  <c:v>61.803380846907451</c:v>
                </c:pt>
                <c:pt idx="1">
                  <c:v>66.987414761241169</c:v>
                </c:pt>
                <c:pt idx="2">
                  <c:v>61.937351204786481</c:v>
                </c:pt>
                <c:pt idx="3">
                  <c:v>66.750093378756773</c:v>
                </c:pt>
                <c:pt idx="4">
                  <c:v>70.401104722391523</c:v>
                </c:pt>
                <c:pt idx="5">
                  <c:v>66.351622191045564</c:v>
                </c:pt>
                <c:pt idx="6" formatCode="#,##0.0">
                  <c:v>63.828589999999998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43-4D44-B999-15B809AF394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3961359"/>
        <c:axId val="1113965103"/>
      </c:lineChart>
      <c:catAx>
        <c:axId val="1113961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5103"/>
        <c:crosses val="autoZero"/>
        <c:auto val="1"/>
        <c:lblAlgn val="ctr"/>
        <c:lblOffset val="100"/>
        <c:noMultiLvlLbl val="0"/>
      </c:catAx>
      <c:valAx>
        <c:axId val="111396510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1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</a:t>
            </a:r>
            <a:r>
              <a:rPr lang="es-MX" baseline="0"/>
              <a:t> DE POBREZA RURAL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Rural_Urbano!$U$13:$AA$13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Rural_Urbano!$U$15:$AA$15</c:f>
              <c:numCache>
                <c:formatCode>#,##0.0</c:formatCode>
                <c:ptCount val="7"/>
                <c:pt idx="0">
                  <c:v>62.460764000000005</c:v>
                </c:pt>
                <c:pt idx="1">
                  <c:v>64.906413999999998</c:v>
                </c:pt>
                <c:pt idx="2">
                  <c:v>61.553126999999996</c:v>
                </c:pt>
                <c:pt idx="3">
                  <c:v>61.125989000000004</c:v>
                </c:pt>
                <c:pt idx="4">
                  <c:v>58.164623999999996</c:v>
                </c:pt>
                <c:pt idx="5">
                  <c:v>55.308888000000003</c:v>
                </c:pt>
                <c:pt idx="6">
                  <c:v>54.459429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5E-4053-8618-239DDC31ED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8578479"/>
        <c:axId val="1018585135"/>
      </c:lineChart>
      <c:catAx>
        <c:axId val="1018578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8585135"/>
        <c:crosses val="autoZero"/>
        <c:auto val="1"/>
        <c:lblAlgn val="ctr"/>
        <c:lblOffset val="100"/>
        <c:noMultiLvlLbl val="0"/>
      </c:catAx>
      <c:valAx>
        <c:axId val="1018585135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8578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extrema oaxaca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Oaxaca!$C$17:$I$17</c:f>
              <c:numCache>
                <c:formatCode>0.0</c:formatCode>
                <c:ptCount val="7"/>
                <c:pt idx="0">
                  <c:v>28.322113367937341</c:v>
                </c:pt>
                <c:pt idx="1">
                  <c:v>29.245321721244327</c:v>
                </c:pt>
                <c:pt idx="2">
                  <c:v>23.318420103298667</c:v>
                </c:pt>
                <c:pt idx="3">
                  <c:v>28.334423796667448</c:v>
                </c:pt>
                <c:pt idx="4">
                  <c:v>26.880160614965426</c:v>
                </c:pt>
                <c:pt idx="5">
                  <c:v>23.264717528071213</c:v>
                </c:pt>
                <c:pt idx="6" formatCode="#,##0.0">
                  <c:v>24.276890000000002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B4-4557-8DDF-7015A8016DF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9001071"/>
        <c:axId val="1208989423"/>
      </c:lineChart>
      <c:catAx>
        <c:axId val="12090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8989423"/>
        <c:crosses val="autoZero"/>
        <c:auto val="1"/>
        <c:lblAlgn val="ctr"/>
        <c:lblOffset val="100"/>
        <c:noMultiLvlLbl val="0"/>
      </c:catAx>
      <c:valAx>
        <c:axId val="120898942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90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puebla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Puebla!$C$15:$I$15</c:f>
              <c:numCache>
                <c:formatCode>0.0</c:formatCode>
                <c:ptCount val="7"/>
                <c:pt idx="0">
                  <c:v>64.551529659660261</c:v>
                </c:pt>
                <c:pt idx="1">
                  <c:v>61.483103581945421</c:v>
                </c:pt>
                <c:pt idx="2">
                  <c:v>64.470351507510458</c:v>
                </c:pt>
                <c:pt idx="3">
                  <c:v>64.537023089668821</c:v>
                </c:pt>
                <c:pt idx="4">
                  <c:v>59.440157622675571</c:v>
                </c:pt>
                <c:pt idx="5">
                  <c:v>58.916717607859006</c:v>
                </c:pt>
                <c:pt idx="6" formatCode="#,##0.0">
                  <c:v>63.369830000000007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49-4F95-9848-C27E321AB35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3961359"/>
        <c:axId val="1113965103"/>
      </c:lineChart>
      <c:catAx>
        <c:axId val="1113961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5103"/>
        <c:crosses val="autoZero"/>
        <c:auto val="1"/>
        <c:lblAlgn val="ctr"/>
        <c:lblOffset val="100"/>
        <c:noMultiLvlLbl val="0"/>
      </c:catAx>
      <c:valAx>
        <c:axId val="111396510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1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extrema puebla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Puebla!$C$17:$I$17</c:f>
              <c:numCache>
                <c:formatCode>0.0</c:formatCode>
                <c:ptCount val="7"/>
                <c:pt idx="0">
                  <c:v>18.954951766012989</c:v>
                </c:pt>
                <c:pt idx="1">
                  <c:v>17.03122555987024</c:v>
                </c:pt>
                <c:pt idx="2">
                  <c:v>17.606196682220215</c:v>
                </c:pt>
                <c:pt idx="3">
                  <c:v>16.160648902573975</c:v>
                </c:pt>
                <c:pt idx="4">
                  <c:v>8.9580456216756055</c:v>
                </c:pt>
                <c:pt idx="5">
                  <c:v>8.6398819051405855</c:v>
                </c:pt>
                <c:pt idx="6" formatCode="#,##0.0">
                  <c:v>13.81617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6-4D66-BF8B-30A46FB1D4D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9001071"/>
        <c:axId val="1208989423"/>
      </c:lineChart>
      <c:catAx>
        <c:axId val="12090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8989423"/>
        <c:crosses val="autoZero"/>
        <c:auto val="1"/>
        <c:lblAlgn val="ctr"/>
        <c:lblOffset val="100"/>
        <c:noMultiLvlLbl val="0"/>
      </c:catAx>
      <c:valAx>
        <c:axId val="120898942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90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querétaro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Querétaro!$C$15:$I$15</c:f>
              <c:numCache>
                <c:formatCode>0.0</c:formatCode>
                <c:ptCount val="7"/>
                <c:pt idx="0">
                  <c:v>35.214429642897123</c:v>
                </c:pt>
                <c:pt idx="1">
                  <c:v>41.410630398033881</c:v>
                </c:pt>
                <c:pt idx="2">
                  <c:v>36.917077355643087</c:v>
                </c:pt>
                <c:pt idx="3">
                  <c:v>34.175291260220789</c:v>
                </c:pt>
                <c:pt idx="4">
                  <c:v>31.119215753466573</c:v>
                </c:pt>
                <c:pt idx="5">
                  <c:v>27.580786558533799</c:v>
                </c:pt>
                <c:pt idx="6" formatCode="#,##0.0">
                  <c:v>32.854210000000002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D-4CD3-82B3-9933E59C336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3961359"/>
        <c:axId val="1113965103"/>
      </c:lineChart>
      <c:catAx>
        <c:axId val="1113961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5103"/>
        <c:crosses val="autoZero"/>
        <c:auto val="1"/>
        <c:lblAlgn val="ctr"/>
        <c:lblOffset val="100"/>
        <c:noMultiLvlLbl val="0"/>
      </c:catAx>
      <c:valAx>
        <c:axId val="111396510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1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extrema querétaro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Querétaro!$C$17:$I$17</c:f>
              <c:numCache>
                <c:formatCode>0.0</c:formatCode>
                <c:ptCount val="7"/>
                <c:pt idx="0">
                  <c:v>5.4642337400649277</c:v>
                </c:pt>
                <c:pt idx="1">
                  <c:v>7.4209890080818326</c:v>
                </c:pt>
                <c:pt idx="2">
                  <c:v>5.1512504357373512</c:v>
                </c:pt>
                <c:pt idx="3">
                  <c:v>3.8500873502476862</c:v>
                </c:pt>
                <c:pt idx="4">
                  <c:v>2.9233988911870172</c:v>
                </c:pt>
                <c:pt idx="5">
                  <c:v>1.9616582595598402</c:v>
                </c:pt>
                <c:pt idx="6" formatCode="#,##0.0">
                  <c:v>3.7006200000000002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68-4979-9B23-379CEBEC0C0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9001071"/>
        <c:axId val="1208989423"/>
      </c:lineChart>
      <c:catAx>
        <c:axId val="12090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8989423"/>
        <c:crosses val="autoZero"/>
        <c:auto val="1"/>
        <c:lblAlgn val="ctr"/>
        <c:lblOffset val="100"/>
        <c:noMultiLvlLbl val="0"/>
      </c:catAx>
      <c:valAx>
        <c:axId val="120898942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90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QUINTANA ROO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'Quintana Roo'!$C$15:$I$15</c:f>
              <c:numCache>
                <c:formatCode>0.0</c:formatCode>
                <c:ptCount val="7"/>
                <c:pt idx="0">
                  <c:v>33.690569684302638</c:v>
                </c:pt>
                <c:pt idx="1">
                  <c:v>34.62680475635743</c:v>
                </c:pt>
                <c:pt idx="2">
                  <c:v>38.793321928657413</c:v>
                </c:pt>
                <c:pt idx="3">
                  <c:v>35.882197981308025</c:v>
                </c:pt>
                <c:pt idx="4">
                  <c:v>28.846836915916469</c:v>
                </c:pt>
                <c:pt idx="5">
                  <c:v>27.565429965859096</c:v>
                </c:pt>
                <c:pt idx="6" formatCode="#,##0.0">
                  <c:v>44.835429999999995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B-460B-A772-AD97E24562E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3961359"/>
        <c:axId val="1113965103"/>
      </c:lineChart>
      <c:catAx>
        <c:axId val="1113961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5103"/>
        <c:crosses val="autoZero"/>
        <c:auto val="1"/>
        <c:lblAlgn val="ctr"/>
        <c:lblOffset val="100"/>
        <c:noMultiLvlLbl val="0"/>
      </c:catAx>
      <c:valAx>
        <c:axId val="111396510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1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extrema QUINTANA ROO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'Quintana Roo'!$C$17:$I$17</c:f>
              <c:numCache>
                <c:formatCode>0.0</c:formatCode>
                <c:ptCount val="7"/>
                <c:pt idx="0">
                  <c:v>7.7338692796673518</c:v>
                </c:pt>
                <c:pt idx="1">
                  <c:v>6.425883228620946</c:v>
                </c:pt>
                <c:pt idx="2">
                  <c:v>8.413014553358181</c:v>
                </c:pt>
                <c:pt idx="3">
                  <c:v>6.9792550720349649</c:v>
                </c:pt>
                <c:pt idx="4">
                  <c:v>4.2369404127625696</c:v>
                </c:pt>
                <c:pt idx="5">
                  <c:v>3.4705761807813573</c:v>
                </c:pt>
                <c:pt idx="6" formatCode="#,##0.0">
                  <c:v>9.5221799999999988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73-46DA-BEA9-A8786CDBA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9001071"/>
        <c:axId val="1208989423"/>
      </c:lineChart>
      <c:catAx>
        <c:axId val="12090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8989423"/>
        <c:crosses val="autoZero"/>
        <c:auto val="1"/>
        <c:lblAlgn val="ctr"/>
        <c:lblOffset val="100"/>
        <c:noMultiLvlLbl val="0"/>
      </c:catAx>
      <c:valAx>
        <c:axId val="120898942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90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SAN LUIS POTOSI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'San Luis Potosí'!$C$17:$I$17</c:f>
              <c:numCache>
                <c:formatCode>0.0</c:formatCode>
                <c:ptCount val="7"/>
                <c:pt idx="0">
                  <c:v>15.414949538493739</c:v>
                </c:pt>
                <c:pt idx="1">
                  <c:v>15.338515859054503</c:v>
                </c:pt>
                <c:pt idx="2">
                  <c:v>12.797576511144786</c:v>
                </c:pt>
                <c:pt idx="3">
                  <c:v>9.4846019062995968</c:v>
                </c:pt>
                <c:pt idx="4">
                  <c:v>7.6773343588450933</c:v>
                </c:pt>
                <c:pt idx="5">
                  <c:v>7.330071631492431</c:v>
                </c:pt>
                <c:pt idx="6" formatCode="#,##0.0">
                  <c:v>9.4977300000000007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50-4F16-812C-F6E639BC2C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3961359"/>
        <c:axId val="1113965103"/>
      </c:lineChart>
      <c:catAx>
        <c:axId val="1113961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5103"/>
        <c:crosses val="autoZero"/>
        <c:auto val="1"/>
        <c:lblAlgn val="ctr"/>
        <c:lblOffset val="100"/>
        <c:noMultiLvlLbl val="0"/>
      </c:catAx>
      <c:valAx>
        <c:axId val="111396510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1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SAN LUIS POTOSI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'San Luis Potosí'!$C$17:$I$17</c:f>
              <c:numCache>
                <c:formatCode>0.0</c:formatCode>
                <c:ptCount val="7"/>
                <c:pt idx="0">
                  <c:v>15.414949538493739</c:v>
                </c:pt>
                <c:pt idx="1">
                  <c:v>15.338515859054503</c:v>
                </c:pt>
                <c:pt idx="2">
                  <c:v>12.797576511144786</c:v>
                </c:pt>
                <c:pt idx="3">
                  <c:v>9.4846019062995968</c:v>
                </c:pt>
                <c:pt idx="4">
                  <c:v>7.6773343588450933</c:v>
                </c:pt>
                <c:pt idx="5">
                  <c:v>7.330071631492431</c:v>
                </c:pt>
                <c:pt idx="6" formatCode="#,##0.0">
                  <c:v>9.4977300000000007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D-43F5-BB7B-0BD2EE82BBF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9001071"/>
        <c:axId val="1208989423"/>
      </c:lineChart>
      <c:catAx>
        <c:axId val="12090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8989423"/>
        <c:crosses val="autoZero"/>
        <c:auto val="1"/>
        <c:lblAlgn val="ctr"/>
        <c:lblOffset val="100"/>
        <c:noMultiLvlLbl val="0"/>
      </c:catAx>
      <c:valAx>
        <c:axId val="120898942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90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SINALOA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Sinaloa!$C$15:$I$15</c:f>
              <c:numCache>
                <c:formatCode>0.0</c:formatCode>
                <c:ptCount val="7"/>
                <c:pt idx="0">
                  <c:v>32.393549040178819</c:v>
                </c:pt>
                <c:pt idx="1">
                  <c:v>36.668698293608209</c:v>
                </c:pt>
                <c:pt idx="2">
                  <c:v>36.26036720089698</c:v>
                </c:pt>
                <c:pt idx="3">
                  <c:v>39.36940991054508</c:v>
                </c:pt>
                <c:pt idx="4">
                  <c:v>30.80663701814666</c:v>
                </c:pt>
                <c:pt idx="5">
                  <c:v>30.878422822042111</c:v>
                </c:pt>
                <c:pt idx="6" formatCode="#,##0.0">
                  <c:v>28.253899999999998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1E-4207-BB7B-27C6BC34C29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3961359"/>
        <c:axId val="1113965103"/>
      </c:lineChart>
      <c:catAx>
        <c:axId val="1113961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5103"/>
        <c:crosses val="autoZero"/>
        <c:auto val="1"/>
        <c:lblAlgn val="ctr"/>
        <c:lblOffset val="100"/>
        <c:noMultiLvlLbl val="0"/>
      </c:catAx>
      <c:valAx>
        <c:axId val="111396510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1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</a:t>
            </a:r>
            <a:r>
              <a:rPr lang="es-MX" baseline="0"/>
              <a:t> DE POBREZA EXTREMA RURAL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Rural_Urbano!$U$13:$AA$13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Rural_Urbano!$U$17:$AA$17</c:f>
              <c:numCache>
                <c:formatCode>#,##0.0</c:formatCode>
                <c:ptCount val="7"/>
                <c:pt idx="0">
                  <c:v>27.063682</c:v>
                </c:pt>
                <c:pt idx="1">
                  <c:v>26.453925999999999</c:v>
                </c:pt>
                <c:pt idx="2">
                  <c:v>21.491004999999998</c:v>
                </c:pt>
                <c:pt idx="3">
                  <c:v>20.581613000000001</c:v>
                </c:pt>
                <c:pt idx="4">
                  <c:v>17.395420000000001</c:v>
                </c:pt>
                <c:pt idx="5">
                  <c:v>16.436923</c:v>
                </c:pt>
                <c:pt idx="6">
                  <c:v>16.854627000000001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97-4141-9E3E-F0269703F40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8509151"/>
        <c:axId val="1028509567"/>
      </c:lineChart>
      <c:catAx>
        <c:axId val="10285091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28509567"/>
        <c:crosses val="autoZero"/>
        <c:auto val="1"/>
        <c:lblAlgn val="ctr"/>
        <c:lblOffset val="100"/>
        <c:noMultiLvlLbl val="0"/>
      </c:catAx>
      <c:valAx>
        <c:axId val="1028509567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285091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extrema SINALOA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Sinaloa!$C$17:$I$17</c:f>
              <c:numCache>
                <c:formatCode>0.0</c:formatCode>
                <c:ptCount val="7"/>
                <c:pt idx="0">
                  <c:v>4.6115127033630854</c:v>
                </c:pt>
                <c:pt idx="1">
                  <c:v>5.4646218918468117</c:v>
                </c:pt>
                <c:pt idx="2">
                  <c:v>4.473251385041551</c:v>
                </c:pt>
                <c:pt idx="3">
                  <c:v>5.2573574803383352</c:v>
                </c:pt>
                <c:pt idx="4">
                  <c:v>2.8856773524828174</c:v>
                </c:pt>
                <c:pt idx="5">
                  <c:v>2.6840579577809964</c:v>
                </c:pt>
                <c:pt idx="6" formatCode="#,##0.0">
                  <c:v>3.0020700000000002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E1-4FC0-8ED4-788BCC9D36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9001071"/>
        <c:axId val="1208989423"/>
      </c:lineChart>
      <c:catAx>
        <c:axId val="12090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8989423"/>
        <c:crosses val="autoZero"/>
        <c:auto val="1"/>
        <c:lblAlgn val="ctr"/>
        <c:lblOffset val="100"/>
        <c:noMultiLvlLbl val="0"/>
      </c:catAx>
      <c:valAx>
        <c:axId val="120898942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90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SONORA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Sonora!$C$15:$I$15</c:f>
              <c:numCache>
                <c:formatCode>0.0</c:formatCode>
                <c:ptCount val="7"/>
                <c:pt idx="0">
                  <c:v>27.11696122095827</c:v>
                </c:pt>
                <c:pt idx="1">
                  <c:v>33.148915116226689</c:v>
                </c:pt>
                <c:pt idx="2">
                  <c:v>29.119836675475121</c:v>
                </c:pt>
                <c:pt idx="3">
                  <c:v>29.35822205316434</c:v>
                </c:pt>
                <c:pt idx="4">
                  <c:v>27.863703526953088</c:v>
                </c:pt>
                <c:pt idx="5">
                  <c:v>28.185481013323805</c:v>
                </c:pt>
                <c:pt idx="6">
                  <c:v>31.190200000000001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D2-46B2-A681-7D67CFFCEE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3961359"/>
        <c:axId val="1113965103"/>
      </c:lineChart>
      <c:catAx>
        <c:axId val="1113961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5103"/>
        <c:crosses val="autoZero"/>
        <c:auto val="1"/>
        <c:lblAlgn val="ctr"/>
        <c:lblOffset val="100"/>
        <c:noMultiLvlLbl val="0"/>
      </c:catAx>
      <c:valAx>
        <c:axId val="111396510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1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extrema SONORA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Sonora!$C$17:$I$17</c:f>
              <c:numCache>
                <c:formatCode>0.0</c:formatCode>
                <c:ptCount val="7"/>
                <c:pt idx="0">
                  <c:v>4.3554319972010251</c:v>
                </c:pt>
                <c:pt idx="1">
                  <c:v>5.1305423887841695</c:v>
                </c:pt>
                <c:pt idx="2">
                  <c:v>4.9581317807386691</c:v>
                </c:pt>
                <c:pt idx="3">
                  <c:v>3.2935622367873854</c:v>
                </c:pt>
                <c:pt idx="4">
                  <c:v>2.5243749218725653</c:v>
                </c:pt>
                <c:pt idx="5">
                  <c:v>2.6331147698388255</c:v>
                </c:pt>
                <c:pt idx="6">
                  <c:v>4.3626300000000002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21-441E-AEE5-0644EB83344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9001071"/>
        <c:axId val="1208989423"/>
      </c:lineChart>
      <c:catAx>
        <c:axId val="12090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8989423"/>
        <c:crosses val="autoZero"/>
        <c:auto val="1"/>
        <c:lblAlgn val="ctr"/>
        <c:lblOffset val="100"/>
        <c:noMultiLvlLbl val="0"/>
      </c:catAx>
      <c:valAx>
        <c:axId val="120898942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90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TABASCO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Tabasco!$C$15:$I$15</c:f>
              <c:numCache>
                <c:formatCode>0.0</c:formatCode>
                <c:ptCount val="7"/>
                <c:pt idx="0">
                  <c:v>53.824434736829708</c:v>
                </c:pt>
                <c:pt idx="1">
                  <c:v>57.095980057883068</c:v>
                </c:pt>
                <c:pt idx="2">
                  <c:v>49.689859342954868</c:v>
                </c:pt>
                <c:pt idx="3">
                  <c:v>49.570649221430926</c:v>
                </c:pt>
                <c:pt idx="4">
                  <c:v>50.851786428559009</c:v>
                </c:pt>
                <c:pt idx="5">
                  <c:v>53.646294296110099</c:v>
                </c:pt>
                <c:pt idx="6">
                  <c:v>52.964999999999996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76-4BCE-8FD7-546126FDE8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3961359"/>
        <c:axId val="1113965103"/>
      </c:lineChart>
      <c:catAx>
        <c:axId val="1113961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5103"/>
        <c:crosses val="autoZero"/>
        <c:auto val="1"/>
        <c:lblAlgn val="ctr"/>
        <c:lblOffset val="100"/>
        <c:noMultiLvlLbl val="0"/>
      </c:catAx>
      <c:valAx>
        <c:axId val="111396510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1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extrema TABASCO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Tabasco!$C$17:$I$17</c:f>
              <c:numCache>
                <c:formatCode>0.0</c:formatCode>
                <c:ptCount val="7"/>
                <c:pt idx="0">
                  <c:v>15.789085004453602</c:v>
                </c:pt>
                <c:pt idx="1">
                  <c:v>13.565387218425681</c:v>
                </c:pt>
                <c:pt idx="2">
                  <c:v>14.300839031206012</c:v>
                </c:pt>
                <c:pt idx="3">
                  <c:v>11.029340099888044</c:v>
                </c:pt>
                <c:pt idx="4">
                  <c:v>11.769277718565558</c:v>
                </c:pt>
                <c:pt idx="5">
                  <c:v>12.292218806102854</c:v>
                </c:pt>
                <c:pt idx="6">
                  <c:v>14.0242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79-4B39-9F31-4FF4D7D6E9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9001071"/>
        <c:axId val="1208989423"/>
      </c:lineChart>
      <c:catAx>
        <c:axId val="12090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8989423"/>
        <c:crosses val="autoZero"/>
        <c:auto val="1"/>
        <c:lblAlgn val="ctr"/>
        <c:lblOffset val="100"/>
        <c:noMultiLvlLbl val="0"/>
      </c:catAx>
      <c:valAx>
        <c:axId val="120898942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90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TAMAULIPAS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Tamaulipas!$C$15:$I$15</c:f>
              <c:numCache>
                <c:formatCode>0.0</c:formatCode>
                <c:ptCount val="7"/>
                <c:pt idx="0">
                  <c:v>33.840678227360307</c:v>
                </c:pt>
                <c:pt idx="1">
                  <c:v>38.951186012621676</c:v>
                </c:pt>
                <c:pt idx="2">
                  <c:v>38.359426753375189</c:v>
                </c:pt>
                <c:pt idx="3">
                  <c:v>37.923559933985366</c:v>
                </c:pt>
                <c:pt idx="4">
                  <c:v>32.162231478385586</c:v>
                </c:pt>
                <c:pt idx="5">
                  <c:v>35.070260608529516</c:v>
                </c:pt>
                <c:pt idx="6">
                  <c:v>35.765500000000003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58-491E-8192-464E973DD88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3961359"/>
        <c:axId val="1113965103"/>
      </c:lineChart>
      <c:catAx>
        <c:axId val="1113961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5103"/>
        <c:crosses val="autoZero"/>
        <c:auto val="1"/>
        <c:lblAlgn val="ctr"/>
        <c:lblOffset val="100"/>
        <c:noMultiLvlLbl val="0"/>
      </c:catAx>
      <c:valAx>
        <c:axId val="111396510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1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extrema TAMAULIPAS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Tamaulipas!$C$17:$I$17</c:f>
              <c:numCache>
                <c:formatCode>0.0</c:formatCode>
                <c:ptCount val="7"/>
                <c:pt idx="0">
                  <c:v>4.8450712909441229</c:v>
                </c:pt>
                <c:pt idx="1">
                  <c:v>5.4871972877460822</c:v>
                </c:pt>
                <c:pt idx="2">
                  <c:v>4.6697580682783002</c:v>
                </c:pt>
                <c:pt idx="3">
                  <c:v>4.3205614036687647</c:v>
                </c:pt>
                <c:pt idx="4">
                  <c:v>2.8817550783568784</c:v>
                </c:pt>
                <c:pt idx="5">
                  <c:v>3.31702396953649</c:v>
                </c:pt>
                <c:pt idx="6">
                  <c:v>3.8045599999999999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54-48D2-89E1-CA854E3A8C6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9001071"/>
        <c:axId val="1208989423"/>
      </c:lineChart>
      <c:catAx>
        <c:axId val="12090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8989423"/>
        <c:crosses val="autoZero"/>
        <c:auto val="1"/>
        <c:lblAlgn val="ctr"/>
        <c:lblOffset val="100"/>
        <c:noMultiLvlLbl val="0"/>
      </c:catAx>
      <c:valAx>
        <c:axId val="120898942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90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Tlaxcala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Tlaxcala!$C$15:$I$15</c:f>
              <c:numCache>
                <c:formatCode>0.0</c:formatCode>
                <c:ptCount val="7"/>
                <c:pt idx="0">
                  <c:v>59.577968204246822</c:v>
                </c:pt>
                <c:pt idx="1">
                  <c:v>60.312902400456345</c:v>
                </c:pt>
                <c:pt idx="2">
                  <c:v>57.879434377073281</c:v>
                </c:pt>
                <c:pt idx="3">
                  <c:v>58.927588541205346</c:v>
                </c:pt>
                <c:pt idx="4">
                  <c:v>53.945662058685841</c:v>
                </c:pt>
                <c:pt idx="5">
                  <c:v>48.378749523337902</c:v>
                </c:pt>
                <c:pt idx="6">
                  <c:v>58.283300000000004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7F-4C12-8094-9E1ED187295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3961359"/>
        <c:axId val="1113965103"/>
      </c:lineChart>
      <c:catAx>
        <c:axId val="1113961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5103"/>
        <c:crosses val="autoZero"/>
        <c:auto val="1"/>
        <c:lblAlgn val="ctr"/>
        <c:lblOffset val="100"/>
        <c:noMultiLvlLbl val="0"/>
      </c:catAx>
      <c:valAx>
        <c:axId val="111396510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1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extrema tlaxcala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Tlaxcala!$C$17:$I$17</c:f>
              <c:numCache>
                <c:formatCode>0.0</c:formatCode>
                <c:ptCount val="7"/>
                <c:pt idx="0">
                  <c:v>9.5214004546210571</c:v>
                </c:pt>
                <c:pt idx="1">
                  <c:v>9.9148116923154355</c:v>
                </c:pt>
                <c:pt idx="2">
                  <c:v>9.1260846092804826</c:v>
                </c:pt>
                <c:pt idx="3">
                  <c:v>6.5351729068340276</c:v>
                </c:pt>
                <c:pt idx="4">
                  <c:v>5.7442044064729538</c:v>
                </c:pt>
                <c:pt idx="5">
                  <c:v>3.1275776275600222</c:v>
                </c:pt>
                <c:pt idx="6">
                  <c:v>8.8472100000000005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F-4D1A-8F9C-0F706EC04D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9001071"/>
        <c:axId val="1208989423"/>
      </c:lineChart>
      <c:catAx>
        <c:axId val="12090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8989423"/>
        <c:crosses val="autoZero"/>
        <c:auto val="1"/>
        <c:lblAlgn val="ctr"/>
        <c:lblOffset val="100"/>
        <c:noMultiLvlLbl val="0"/>
      </c:catAx>
      <c:valAx>
        <c:axId val="120898942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90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veracruz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Veracruz!$C$15:$I$15</c:f>
              <c:numCache>
                <c:formatCode>0.0</c:formatCode>
                <c:ptCount val="7"/>
                <c:pt idx="0">
                  <c:v>51.190736515044399</c:v>
                </c:pt>
                <c:pt idx="1">
                  <c:v>57.579122113026372</c:v>
                </c:pt>
                <c:pt idx="2">
                  <c:v>52.644296919417634</c:v>
                </c:pt>
                <c:pt idx="3">
                  <c:v>58.005177890477754</c:v>
                </c:pt>
                <c:pt idx="4">
                  <c:v>62.160045488325522</c:v>
                </c:pt>
                <c:pt idx="5">
                  <c:v>61.778921975104197</c:v>
                </c:pt>
                <c:pt idx="6">
                  <c:v>60.8461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B-458F-B8A8-09C2593DDC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3961359"/>
        <c:axId val="1113965103"/>
      </c:lineChart>
      <c:catAx>
        <c:axId val="1113961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5103"/>
        <c:crosses val="autoZero"/>
        <c:auto val="1"/>
        <c:lblAlgn val="ctr"/>
        <c:lblOffset val="100"/>
        <c:noMultiLvlLbl val="0"/>
      </c:catAx>
      <c:valAx>
        <c:axId val="111396510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1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</a:t>
            </a:r>
            <a:r>
              <a:rPr lang="es-MX" baseline="0"/>
              <a:t> DE POBREZA NO HABLANTE DE LENGUA INDIGENA 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'Lengua Indigena '!$C$15:$I$15</c:f>
              <c:numCache>
                <c:formatCode>#,##0.0</c:formatCode>
                <c:ptCount val="7"/>
                <c:pt idx="0">
                  <c:v>41.411690999999998</c:v>
                </c:pt>
                <c:pt idx="1">
                  <c:v>43.334609</c:v>
                </c:pt>
                <c:pt idx="2">
                  <c:v>42.983796000000005</c:v>
                </c:pt>
                <c:pt idx="3">
                  <c:v>43.622681</c:v>
                </c:pt>
                <c:pt idx="4">
                  <c:v>41.029888</c:v>
                </c:pt>
                <c:pt idx="5">
                  <c:v>39.409736000000002</c:v>
                </c:pt>
                <c:pt idx="6">
                  <c:v>42.169511999999997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2D-47B5-8F1F-17C77337EDE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5863087"/>
        <c:axId val="1025855599"/>
      </c:lineChart>
      <c:catAx>
        <c:axId val="1025863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25855599"/>
        <c:crosses val="autoZero"/>
        <c:auto val="1"/>
        <c:lblAlgn val="ctr"/>
        <c:lblOffset val="100"/>
        <c:noMultiLvlLbl val="0"/>
      </c:catAx>
      <c:valAx>
        <c:axId val="1025855599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25863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extrema veracruz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Veracruz!$C$17:$I$17</c:f>
              <c:numCache>
                <c:formatCode>0.0</c:formatCode>
                <c:ptCount val="7"/>
                <c:pt idx="0">
                  <c:v>16.844655459946946</c:v>
                </c:pt>
                <c:pt idx="1">
                  <c:v>18.757383535289122</c:v>
                </c:pt>
                <c:pt idx="2">
                  <c:v>14.26069798299091</c:v>
                </c:pt>
                <c:pt idx="3">
                  <c:v>17.153527056129946</c:v>
                </c:pt>
                <c:pt idx="4">
                  <c:v>16.403334907796648</c:v>
                </c:pt>
                <c:pt idx="5">
                  <c:v>17.699402554168948</c:v>
                </c:pt>
                <c:pt idx="6">
                  <c:v>16.032299999999999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03-4CFD-847A-204BD1B0BB0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9001071"/>
        <c:axId val="1208989423"/>
      </c:lineChart>
      <c:catAx>
        <c:axId val="12090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8989423"/>
        <c:crosses val="autoZero"/>
        <c:auto val="1"/>
        <c:lblAlgn val="ctr"/>
        <c:lblOffset val="100"/>
        <c:noMultiLvlLbl val="0"/>
      </c:catAx>
      <c:valAx>
        <c:axId val="120898942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90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yucatán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Yucatán!$C$15:$I$15</c:f>
              <c:numCache>
                <c:formatCode>0.0</c:formatCode>
                <c:ptCount val="7"/>
                <c:pt idx="0">
                  <c:v>47.026960884707336</c:v>
                </c:pt>
                <c:pt idx="1">
                  <c:v>48.32065428621695</c:v>
                </c:pt>
                <c:pt idx="2">
                  <c:v>48.85650545085992</c:v>
                </c:pt>
                <c:pt idx="3">
                  <c:v>45.856505140203694</c:v>
                </c:pt>
                <c:pt idx="4">
                  <c:v>41.871657480905363</c:v>
                </c:pt>
                <c:pt idx="5">
                  <c:v>40.798022432487777</c:v>
                </c:pt>
                <c:pt idx="6">
                  <c:v>47.843699999999998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80-4861-B584-978307B9697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3961359"/>
        <c:axId val="1113965103"/>
      </c:lineChart>
      <c:catAx>
        <c:axId val="1113961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5103"/>
        <c:crosses val="autoZero"/>
        <c:auto val="1"/>
        <c:lblAlgn val="ctr"/>
        <c:lblOffset val="100"/>
        <c:noMultiLvlLbl val="0"/>
      </c:catAx>
      <c:valAx>
        <c:axId val="111396510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1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extrema yucatán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Yucatán!$C$17:$I$17</c:f>
              <c:numCache>
                <c:formatCode>0.0</c:formatCode>
                <c:ptCount val="7"/>
                <c:pt idx="0">
                  <c:v>8.8611244045807425</c:v>
                </c:pt>
                <c:pt idx="1">
                  <c:v>11.719653842101629</c:v>
                </c:pt>
                <c:pt idx="2">
                  <c:v>9.8317888740117194</c:v>
                </c:pt>
                <c:pt idx="3">
                  <c:v>10.685591871417117</c:v>
                </c:pt>
                <c:pt idx="4">
                  <c:v>6.1477512411340109</c:v>
                </c:pt>
                <c:pt idx="5">
                  <c:v>6.6649570759837546</c:v>
                </c:pt>
                <c:pt idx="6">
                  <c:v>11.4244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83-4E44-9162-4B7E19D1B97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9001071"/>
        <c:axId val="1208989423"/>
      </c:lineChart>
      <c:catAx>
        <c:axId val="12090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8989423"/>
        <c:crosses val="autoZero"/>
        <c:auto val="1"/>
        <c:lblAlgn val="ctr"/>
        <c:lblOffset val="100"/>
        <c:noMultiLvlLbl val="0"/>
      </c:catAx>
      <c:valAx>
        <c:axId val="120898942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90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zacatecas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Zacatecas!$C$15:$I$15</c:f>
              <c:numCache>
                <c:formatCode>0.0</c:formatCode>
                <c:ptCount val="7"/>
                <c:pt idx="0">
                  <c:v>50.131569171749099</c:v>
                </c:pt>
                <c:pt idx="1">
                  <c:v>60.247468471564922</c:v>
                </c:pt>
                <c:pt idx="2">
                  <c:v>54.213690381564476</c:v>
                </c:pt>
                <c:pt idx="3">
                  <c:v>52.345793789800275</c:v>
                </c:pt>
                <c:pt idx="4">
                  <c:v>49.003874970953419</c:v>
                </c:pt>
                <c:pt idx="5">
                  <c:v>46.761318605111946</c:v>
                </c:pt>
                <c:pt idx="6">
                  <c:v>43.757100000000001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F2-4DB7-B329-8A321B27137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3961359"/>
        <c:axId val="1113965103"/>
      </c:lineChart>
      <c:catAx>
        <c:axId val="1113961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5103"/>
        <c:crosses val="autoZero"/>
        <c:auto val="1"/>
        <c:lblAlgn val="ctr"/>
        <c:lblOffset val="100"/>
        <c:noMultiLvlLbl val="0"/>
      </c:catAx>
      <c:valAx>
        <c:axId val="111396510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3961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cap="all" baseline="0">
                <a:effectLst/>
              </a:rPr>
              <a:t>porcentaje de pobreza extrema zacatecas</a:t>
            </a:r>
            <a:endParaRPr lang="es-MX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México!$K$13:$Q$13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Zacatecas!$C$17:$I$17</c:f>
              <c:numCache>
                <c:formatCode>0.0</c:formatCode>
                <c:ptCount val="7"/>
                <c:pt idx="0">
                  <c:v>9.4856104660979739</c:v>
                </c:pt>
                <c:pt idx="1">
                  <c:v>10.843402162705232</c:v>
                </c:pt>
                <c:pt idx="2">
                  <c:v>7.4811423899607767</c:v>
                </c:pt>
                <c:pt idx="3">
                  <c:v>5.7104873823591191</c:v>
                </c:pt>
                <c:pt idx="4">
                  <c:v>3.5240882513644047</c:v>
                </c:pt>
                <c:pt idx="5">
                  <c:v>3.3692044779076684</c:v>
                </c:pt>
                <c:pt idx="6">
                  <c:v>3.7936800000000002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B7-4311-8847-FEC813814C5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9001071"/>
        <c:axId val="1208989423"/>
      </c:lineChart>
      <c:catAx>
        <c:axId val="12090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8989423"/>
        <c:crosses val="autoZero"/>
        <c:auto val="1"/>
        <c:lblAlgn val="ctr"/>
        <c:lblOffset val="100"/>
        <c:noMultiLvlLbl val="0"/>
      </c:catAx>
      <c:valAx>
        <c:axId val="120898942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90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</a:t>
            </a:r>
            <a:r>
              <a:rPr lang="es-MX" baseline="0"/>
              <a:t> DE POBREZA EXTREMA NO HABLANTE DE LENGUA INDIGENA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'Lengua Indigena '!$C$17:$I$17</c:f>
              <c:numCache>
                <c:formatCode>#,##0.0</c:formatCode>
                <c:ptCount val="7"/>
                <c:pt idx="0">
                  <c:v>8.7413982000000008</c:v>
                </c:pt>
                <c:pt idx="1">
                  <c:v>8.9278183000000002</c:v>
                </c:pt>
                <c:pt idx="2">
                  <c:v>7.9180193999999995</c:v>
                </c:pt>
                <c:pt idx="3">
                  <c:v>7.4302248000000004</c:v>
                </c:pt>
                <c:pt idx="4">
                  <c:v>5.8109773000000002</c:v>
                </c:pt>
                <c:pt idx="5">
                  <c:v>5.5612376000000001</c:v>
                </c:pt>
                <c:pt idx="6">
                  <c:v>7.3186818000000002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B-495A-BBCF-3E37FE90E46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9583519"/>
        <c:axId val="1019601407"/>
      </c:lineChart>
      <c:catAx>
        <c:axId val="1019583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9601407"/>
        <c:crosses val="autoZero"/>
        <c:auto val="1"/>
        <c:lblAlgn val="ctr"/>
        <c:lblOffset val="100"/>
        <c:noMultiLvlLbl val="0"/>
      </c:catAx>
      <c:valAx>
        <c:axId val="1019601407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9583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</a:t>
            </a:r>
            <a:r>
              <a:rPr lang="es-MX" baseline="0"/>
              <a:t> DE POBREZA HABLANTE DE LENGUA INDIGENA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'Lengua Indigena '!$U$13:$AA$13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'Lengua Indigena '!$U$15:$AA$15</c:f>
              <c:numCache>
                <c:formatCode>#,##0.0</c:formatCode>
                <c:ptCount val="7"/>
                <c:pt idx="0">
                  <c:v>75.966003000000001</c:v>
                </c:pt>
                <c:pt idx="1">
                  <c:v>79.527827000000002</c:v>
                </c:pt>
                <c:pt idx="2">
                  <c:v>76.798752999999991</c:v>
                </c:pt>
                <c:pt idx="3">
                  <c:v>78.400553000000002</c:v>
                </c:pt>
                <c:pt idx="4">
                  <c:v>77.633334000000005</c:v>
                </c:pt>
                <c:pt idx="5">
                  <c:v>74.855215000000001</c:v>
                </c:pt>
                <c:pt idx="6">
                  <c:v>76.307888999999989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8-4F1A-A851-49368D47BDA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0148783"/>
        <c:axId val="1000149199"/>
      </c:lineChart>
      <c:catAx>
        <c:axId val="1000148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0149199"/>
        <c:crosses val="autoZero"/>
        <c:auto val="1"/>
        <c:lblAlgn val="ctr"/>
        <c:lblOffset val="100"/>
        <c:noMultiLvlLbl val="0"/>
      </c:catAx>
      <c:valAx>
        <c:axId val="1000149199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0148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2.xml"/><Relationship Id="rId2" Type="http://schemas.openxmlformats.org/officeDocument/2006/relationships/chart" Target="../charts/chart71.xml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733425</xdr:colOff>
      <xdr:row>7</xdr:row>
      <xdr:rowOff>100012</xdr:rowOff>
    </xdr:from>
    <xdr:to>
      <xdr:col>24</xdr:col>
      <xdr:colOff>733425</xdr:colOff>
      <xdr:row>21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57348F6-C961-4581-9941-FD826ACE5A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723900</xdr:colOff>
      <xdr:row>22</xdr:row>
      <xdr:rowOff>100012</xdr:rowOff>
    </xdr:from>
    <xdr:to>
      <xdr:col>24</xdr:col>
      <xdr:colOff>723900</xdr:colOff>
      <xdr:row>36</xdr:row>
      <xdr:rowOff>23812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B6DCD9A-C9D8-4848-8F0D-45F1A9F98A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57150</xdr:colOff>
      <xdr:row>1</xdr:row>
      <xdr:rowOff>0</xdr:rowOff>
    </xdr:from>
    <xdr:to>
      <xdr:col>1</xdr:col>
      <xdr:colOff>2819400</xdr:colOff>
      <xdr:row>7</xdr:row>
      <xdr:rowOff>60614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BE2AEAE-C655-4400-9364-BFDF39977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90500"/>
          <a:ext cx="2762250" cy="12036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50DBF5C1-664D-437E-AB8F-11CE4283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18</xdr:col>
      <xdr:colOff>733425</xdr:colOff>
      <xdr:row>7</xdr:row>
      <xdr:rowOff>147637</xdr:rowOff>
    </xdr:from>
    <xdr:to>
      <xdr:col>24</xdr:col>
      <xdr:colOff>733425</xdr:colOff>
      <xdr:row>20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E84CE3B-7EA1-4ECE-AE3C-AE8B6AB55F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723900</xdr:colOff>
      <xdr:row>22</xdr:row>
      <xdr:rowOff>128587</xdr:rowOff>
    </xdr:from>
    <xdr:to>
      <xdr:col>24</xdr:col>
      <xdr:colOff>723900</xdr:colOff>
      <xdr:row>37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E0BAB9D-67FF-4E1B-B0A4-EDEA3829BF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6214B4B7-1B1F-459D-8557-97F734F18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18</xdr:col>
      <xdr:colOff>638175</xdr:colOff>
      <xdr:row>7</xdr:row>
      <xdr:rowOff>147637</xdr:rowOff>
    </xdr:from>
    <xdr:to>
      <xdr:col>24</xdr:col>
      <xdr:colOff>638175</xdr:colOff>
      <xdr:row>20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CC271B2-FB78-45C5-855F-6634A60FF9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609600</xdr:colOff>
      <xdr:row>22</xdr:row>
      <xdr:rowOff>90487</xdr:rowOff>
    </xdr:from>
    <xdr:to>
      <xdr:col>24</xdr:col>
      <xdr:colOff>609600</xdr:colOff>
      <xdr:row>36</xdr:row>
      <xdr:rowOff>157162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6CA7C39-152C-469B-9654-25062E36FD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AD81D0A7-2B5D-4D6E-8A8F-B8C8C676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7</xdr:row>
      <xdr:rowOff>138112</xdr:rowOff>
    </xdr:from>
    <xdr:to>
      <xdr:col>25</xdr:col>
      <xdr:colOff>0</xdr:colOff>
      <xdr:row>21</xdr:row>
      <xdr:rowOff>166687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760458-BD19-455C-A4E9-E46FEE6734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28575</xdr:colOff>
      <xdr:row>24</xdr:row>
      <xdr:rowOff>23812</xdr:rowOff>
    </xdr:from>
    <xdr:to>
      <xdr:col>25</xdr:col>
      <xdr:colOff>28575</xdr:colOff>
      <xdr:row>38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AFAED38-4EED-4D95-9DB9-28B0F1A136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81CA2D00-C8BD-4053-BA0B-047008206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7</xdr:row>
      <xdr:rowOff>138112</xdr:rowOff>
    </xdr:from>
    <xdr:to>
      <xdr:col>25</xdr:col>
      <xdr:colOff>0</xdr:colOff>
      <xdr:row>20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F93591C-95F2-404F-ABFC-EF09FD0811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22</xdr:row>
      <xdr:rowOff>52387</xdr:rowOff>
    </xdr:from>
    <xdr:to>
      <xdr:col>25</xdr:col>
      <xdr:colOff>9525</xdr:colOff>
      <xdr:row>36</xdr:row>
      <xdr:rowOff>119062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F3FA940-1C37-422B-B5B1-6EA02EF1F1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EEA0AD37-E77D-4982-B07B-8E4820CC5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18</xdr:col>
      <xdr:colOff>676275</xdr:colOff>
      <xdr:row>7</xdr:row>
      <xdr:rowOff>166687</xdr:rowOff>
    </xdr:from>
    <xdr:to>
      <xdr:col>24</xdr:col>
      <xdr:colOff>676275</xdr:colOff>
      <xdr:row>20</xdr:row>
      <xdr:rowOff>119062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6B9E01C-B42B-4088-9A80-3664FE9A45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676275</xdr:colOff>
      <xdr:row>23</xdr:row>
      <xdr:rowOff>14287</xdr:rowOff>
    </xdr:from>
    <xdr:to>
      <xdr:col>24</xdr:col>
      <xdr:colOff>676275</xdr:colOff>
      <xdr:row>37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09CB38D-1B4D-4EA4-AAE7-BB69DC2C47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30EF434F-43B8-42EE-9451-06027DCCC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18</xdr:col>
      <xdr:colOff>733425</xdr:colOff>
      <xdr:row>7</xdr:row>
      <xdr:rowOff>157162</xdr:rowOff>
    </xdr:from>
    <xdr:to>
      <xdr:col>24</xdr:col>
      <xdr:colOff>733425</xdr:colOff>
      <xdr:row>21</xdr:row>
      <xdr:rowOff>185737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EBFB332-C4D0-4F4F-A525-2FA12CE06B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714375</xdr:colOff>
      <xdr:row>24</xdr:row>
      <xdr:rowOff>71437</xdr:rowOff>
    </xdr:from>
    <xdr:to>
      <xdr:col>24</xdr:col>
      <xdr:colOff>714375</xdr:colOff>
      <xdr:row>37</xdr:row>
      <xdr:rowOff>185737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096E54D-833D-4057-A9AD-F5F8281915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0BCDF9AA-F41D-42EA-AF36-1F1CAF0D3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9525</xdr:colOff>
      <xdr:row>8</xdr:row>
      <xdr:rowOff>4762</xdr:rowOff>
    </xdr:from>
    <xdr:to>
      <xdr:col>25</xdr:col>
      <xdr:colOff>9525</xdr:colOff>
      <xdr:row>20</xdr:row>
      <xdr:rowOff>147637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DF2896A-11F8-4D02-8EC1-5B8DF1C50F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85725</xdr:colOff>
      <xdr:row>22</xdr:row>
      <xdr:rowOff>109537</xdr:rowOff>
    </xdr:from>
    <xdr:to>
      <xdr:col>25</xdr:col>
      <xdr:colOff>85725</xdr:colOff>
      <xdr:row>36</xdr:row>
      <xdr:rowOff>176212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0EEA46F-7B17-4EA5-8B01-7FB8238CD9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B5A87213-7587-4A53-92F0-E5E91ECE9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18</xdr:col>
      <xdr:colOff>752475</xdr:colOff>
      <xdr:row>7</xdr:row>
      <xdr:rowOff>176212</xdr:rowOff>
    </xdr:from>
    <xdr:to>
      <xdr:col>24</xdr:col>
      <xdr:colOff>752475</xdr:colOff>
      <xdr:row>20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07F4A58-120E-4884-B108-97EA1F4452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733425</xdr:colOff>
      <xdr:row>21</xdr:row>
      <xdr:rowOff>185737</xdr:rowOff>
    </xdr:from>
    <xdr:to>
      <xdr:col>24</xdr:col>
      <xdr:colOff>733425</xdr:colOff>
      <xdr:row>36</xdr:row>
      <xdr:rowOff>61912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6069C40-3DA6-4D00-96E2-C52CE68FDE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13FFC4C8-2EBB-4B42-9DFF-A80AD8EC6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28575</xdr:colOff>
      <xdr:row>7</xdr:row>
      <xdr:rowOff>128587</xdr:rowOff>
    </xdr:from>
    <xdr:to>
      <xdr:col>25</xdr:col>
      <xdr:colOff>28575</xdr:colOff>
      <xdr:row>20</xdr:row>
      <xdr:rowOff>80962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C31BE84-23A1-4755-A3B4-3C80487B8C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22</xdr:row>
      <xdr:rowOff>80962</xdr:rowOff>
    </xdr:from>
    <xdr:to>
      <xdr:col>25</xdr:col>
      <xdr:colOff>0</xdr:colOff>
      <xdr:row>36</xdr:row>
      <xdr:rowOff>147637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06535A0-AEA5-4C71-B89F-F7880B8DC3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91F546FB-FDFB-4C6B-A3DB-7EA08CC1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8</xdr:row>
      <xdr:rowOff>0</xdr:rowOff>
    </xdr:from>
    <xdr:to>
      <xdr:col>25</xdr:col>
      <xdr:colOff>24204</xdr:colOff>
      <xdr:row>20</xdr:row>
      <xdr:rowOff>111050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4D4352D-D573-41E8-A83A-BC210D112E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21</xdr:row>
      <xdr:rowOff>0</xdr:rowOff>
    </xdr:from>
    <xdr:to>
      <xdr:col>25</xdr:col>
      <xdr:colOff>24204</xdr:colOff>
      <xdr:row>35</xdr:row>
      <xdr:rowOff>20507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746BCB1-FACF-42FB-B597-5E26213F9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0</xdr:rowOff>
    </xdr:from>
    <xdr:to>
      <xdr:col>1</xdr:col>
      <xdr:colOff>2819400</xdr:colOff>
      <xdr:row>7</xdr:row>
      <xdr:rowOff>60614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54EE34-E3A9-4EB3-8512-18993E6E1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90500"/>
          <a:ext cx="2762250" cy="1203614"/>
        </a:xfrm>
        <a:prstGeom prst="rect">
          <a:avLst/>
        </a:prstGeom>
      </xdr:spPr>
    </xdr:pic>
    <xdr:clientData/>
  </xdr:twoCellAnchor>
  <xdr:twoCellAnchor>
    <xdr:from>
      <xdr:col>1</xdr:col>
      <xdr:colOff>685800</xdr:colOff>
      <xdr:row>35</xdr:row>
      <xdr:rowOff>33337</xdr:rowOff>
    </xdr:from>
    <xdr:to>
      <xdr:col>4</xdr:col>
      <xdr:colOff>28575</xdr:colOff>
      <xdr:row>49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49D610F-0FFB-41F0-9EDD-869542777A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428625</xdr:colOff>
      <xdr:row>35</xdr:row>
      <xdr:rowOff>52387</xdr:rowOff>
    </xdr:from>
    <xdr:to>
      <xdr:col>15</xdr:col>
      <xdr:colOff>419100</xdr:colOff>
      <xdr:row>49</xdr:row>
      <xdr:rowOff>119062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2FD1965-7EDE-4362-B5CC-A2F85DB0E1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9525</xdr:colOff>
      <xdr:row>35</xdr:row>
      <xdr:rowOff>52387</xdr:rowOff>
    </xdr:from>
    <xdr:to>
      <xdr:col>20</xdr:col>
      <xdr:colOff>266700</xdr:colOff>
      <xdr:row>49</xdr:row>
      <xdr:rowOff>119062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E720FF8-044F-4AF7-A327-C57E576991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400050</xdr:colOff>
      <xdr:row>35</xdr:row>
      <xdr:rowOff>42862</xdr:rowOff>
    </xdr:from>
    <xdr:to>
      <xdr:col>33</xdr:col>
      <xdr:colOff>390525</xdr:colOff>
      <xdr:row>49</xdr:row>
      <xdr:rowOff>119062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72236B0-0C8D-492D-8D41-4C99BEAF48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C3ECCBE6-070E-4070-A0F5-864437A04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8</xdr:row>
      <xdr:rowOff>0</xdr:rowOff>
    </xdr:from>
    <xdr:to>
      <xdr:col>25</xdr:col>
      <xdr:colOff>24204</xdr:colOff>
      <xdr:row>20</xdr:row>
      <xdr:rowOff>111050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70290B0-B93C-44E7-814B-6B42C7462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21</xdr:row>
      <xdr:rowOff>0</xdr:rowOff>
    </xdr:from>
    <xdr:to>
      <xdr:col>25</xdr:col>
      <xdr:colOff>24204</xdr:colOff>
      <xdr:row>35</xdr:row>
      <xdr:rowOff>20507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04104F9-B7E9-46D1-B9E7-91A0B5708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ECC6931E-9C3F-45B4-8642-4C33E4694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8</xdr:row>
      <xdr:rowOff>0</xdr:rowOff>
    </xdr:from>
    <xdr:to>
      <xdr:col>25</xdr:col>
      <xdr:colOff>24204</xdr:colOff>
      <xdr:row>20</xdr:row>
      <xdr:rowOff>111050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E51D745-443F-4A8C-A918-FC86FBED9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21</xdr:row>
      <xdr:rowOff>0</xdr:rowOff>
    </xdr:from>
    <xdr:to>
      <xdr:col>25</xdr:col>
      <xdr:colOff>24204</xdr:colOff>
      <xdr:row>34</xdr:row>
      <xdr:rowOff>66227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74BAF2C-C4C2-4562-8089-990271793A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41DA213D-8737-474A-BFA0-2E3506D00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8</xdr:row>
      <xdr:rowOff>0</xdr:rowOff>
    </xdr:from>
    <xdr:to>
      <xdr:col>25</xdr:col>
      <xdr:colOff>24204</xdr:colOff>
      <xdr:row>20</xdr:row>
      <xdr:rowOff>111050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DE24878-AC49-43E7-9DAD-C8E29F15E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21</xdr:row>
      <xdr:rowOff>0</xdr:rowOff>
    </xdr:from>
    <xdr:to>
      <xdr:col>25</xdr:col>
      <xdr:colOff>24204</xdr:colOff>
      <xdr:row>34</xdr:row>
      <xdr:rowOff>66227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5B5DD3C-8EF7-42D4-9AB2-F32AA1FE5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2E4AB8FD-E0AD-492B-A2D4-B5194DFA8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8</xdr:row>
      <xdr:rowOff>0</xdr:rowOff>
    </xdr:from>
    <xdr:to>
      <xdr:col>25</xdr:col>
      <xdr:colOff>24204</xdr:colOff>
      <xdr:row>20</xdr:row>
      <xdr:rowOff>111050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7352271-D447-4A2E-A3EF-E45F3AA8A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21</xdr:row>
      <xdr:rowOff>0</xdr:rowOff>
    </xdr:from>
    <xdr:to>
      <xdr:col>25</xdr:col>
      <xdr:colOff>24204</xdr:colOff>
      <xdr:row>34</xdr:row>
      <xdr:rowOff>66227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D762AF9-CAB6-4EA8-A562-B21828B02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D0A434F8-30AE-43EF-98C0-CD42F2E3C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8</xdr:row>
      <xdr:rowOff>0</xdr:rowOff>
    </xdr:from>
    <xdr:to>
      <xdr:col>25</xdr:col>
      <xdr:colOff>24204</xdr:colOff>
      <xdr:row>20</xdr:row>
      <xdr:rowOff>111050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159BD71-CEAA-4D9E-B6DF-8AA425F92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21</xdr:row>
      <xdr:rowOff>0</xdr:rowOff>
    </xdr:from>
    <xdr:to>
      <xdr:col>25</xdr:col>
      <xdr:colOff>24204</xdr:colOff>
      <xdr:row>34</xdr:row>
      <xdr:rowOff>66227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AE74F8F-71F4-4F36-88B3-A40955D373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BAC48AFC-7493-40BF-BDEF-220832CAD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8</xdr:row>
      <xdr:rowOff>0</xdr:rowOff>
    </xdr:from>
    <xdr:to>
      <xdr:col>25</xdr:col>
      <xdr:colOff>24204</xdr:colOff>
      <xdr:row>20</xdr:row>
      <xdr:rowOff>111050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BD938A8-AF34-4892-A94A-E9F3B0F00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21</xdr:row>
      <xdr:rowOff>0</xdr:rowOff>
    </xdr:from>
    <xdr:to>
      <xdr:col>25</xdr:col>
      <xdr:colOff>24204</xdr:colOff>
      <xdr:row>34</xdr:row>
      <xdr:rowOff>66227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4AFFF6E-B6E0-4BA9-9150-998177F25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3925F731-BF29-430E-9A7D-0E17E5AD1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8</xdr:row>
      <xdr:rowOff>0</xdr:rowOff>
    </xdr:from>
    <xdr:to>
      <xdr:col>25</xdr:col>
      <xdr:colOff>24204</xdr:colOff>
      <xdr:row>20</xdr:row>
      <xdr:rowOff>111050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FF97F22-8400-4C29-9802-59A5CF1402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21</xdr:row>
      <xdr:rowOff>0</xdr:rowOff>
    </xdr:from>
    <xdr:to>
      <xdr:col>25</xdr:col>
      <xdr:colOff>24204</xdr:colOff>
      <xdr:row>34</xdr:row>
      <xdr:rowOff>66227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B044409-2015-421F-A568-6A1D36F98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85FB5A4E-F4A5-4318-A518-CBB23E3FB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3" name="Imagen 2">
          <a:extLst>
            <a:ext uri="{FF2B5EF4-FFF2-40B4-BE49-F238E27FC236}">
              <a16:creationId xmlns:a16="http://schemas.microsoft.com/office/drawing/2014/main" id="{32672ABD-1CF3-407B-855F-A67DAF100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8</xdr:row>
      <xdr:rowOff>0</xdr:rowOff>
    </xdr:from>
    <xdr:to>
      <xdr:col>25</xdr:col>
      <xdr:colOff>24204</xdr:colOff>
      <xdr:row>20</xdr:row>
      <xdr:rowOff>111050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74F4C49-E09A-49B9-98C1-F3F79EF0DB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21</xdr:row>
      <xdr:rowOff>0</xdr:rowOff>
    </xdr:from>
    <xdr:to>
      <xdr:col>25</xdr:col>
      <xdr:colOff>24204</xdr:colOff>
      <xdr:row>34</xdr:row>
      <xdr:rowOff>66227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9E1DE76-67BB-4C70-B3DF-9F050BEA4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424D6272-F66B-434A-A33A-2B56100B5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8</xdr:row>
      <xdr:rowOff>0</xdr:rowOff>
    </xdr:from>
    <xdr:to>
      <xdr:col>25</xdr:col>
      <xdr:colOff>24204</xdr:colOff>
      <xdr:row>20</xdr:row>
      <xdr:rowOff>111050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F5F0773-D520-482E-A51B-F3B90E1C8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21</xdr:row>
      <xdr:rowOff>0</xdr:rowOff>
    </xdr:from>
    <xdr:to>
      <xdr:col>25</xdr:col>
      <xdr:colOff>24204</xdr:colOff>
      <xdr:row>35</xdr:row>
      <xdr:rowOff>20507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E90C7E8-1DE8-48F5-B71D-3497AAD793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3A215A30-6F0D-4BEF-ACF7-1EB6DDF47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8</xdr:row>
      <xdr:rowOff>0</xdr:rowOff>
    </xdr:from>
    <xdr:to>
      <xdr:col>25</xdr:col>
      <xdr:colOff>24204</xdr:colOff>
      <xdr:row>20</xdr:row>
      <xdr:rowOff>111050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03B508C-0F50-4BA3-A1DF-99EEF73B8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21</xdr:row>
      <xdr:rowOff>0</xdr:rowOff>
    </xdr:from>
    <xdr:to>
      <xdr:col>25</xdr:col>
      <xdr:colOff>24204</xdr:colOff>
      <xdr:row>35</xdr:row>
      <xdr:rowOff>20507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47B58FD-23BE-4760-A4B6-46207BF4F2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0</xdr:rowOff>
    </xdr:from>
    <xdr:to>
      <xdr:col>1</xdr:col>
      <xdr:colOff>2819400</xdr:colOff>
      <xdr:row>7</xdr:row>
      <xdr:rowOff>60614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DEB36D-FA3C-4A32-BE4E-42EFC10E3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90500"/>
          <a:ext cx="2762250" cy="1203614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35</xdr:row>
      <xdr:rowOff>23812</xdr:rowOff>
    </xdr:from>
    <xdr:to>
      <xdr:col>2</xdr:col>
      <xdr:colOff>400050</xdr:colOff>
      <xdr:row>49</xdr:row>
      <xdr:rowOff>80962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5012AC7-FE69-4FB4-9730-B2B878733D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266700</xdr:colOff>
      <xdr:row>35</xdr:row>
      <xdr:rowOff>33337</xdr:rowOff>
    </xdr:from>
    <xdr:to>
      <xdr:col>15</xdr:col>
      <xdr:colOff>257175</xdr:colOff>
      <xdr:row>49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6FD543B-0A7E-4F0A-BB59-9C754CA2CD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38100</xdr:colOff>
      <xdr:row>35</xdr:row>
      <xdr:rowOff>33337</xdr:rowOff>
    </xdr:from>
    <xdr:to>
      <xdr:col>20</xdr:col>
      <xdr:colOff>295275</xdr:colOff>
      <xdr:row>49</xdr:row>
      <xdr:rowOff>90487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8B79010-2B01-4324-B110-AA775B0CC1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257175</xdr:colOff>
      <xdr:row>35</xdr:row>
      <xdr:rowOff>52387</xdr:rowOff>
    </xdr:from>
    <xdr:to>
      <xdr:col>32</xdr:col>
      <xdr:colOff>238125</xdr:colOff>
      <xdr:row>49</xdr:row>
      <xdr:rowOff>109537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7E8B06D-63F2-4003-94D2-5FC220F358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ECB81820-0743-46D8-BFAD-AA3BDE482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8</xdr:row>
      <xdr:rowOff>0</xdr:rowOff>
    </xdr:from>
    <xdr:to>
      <xdr:col>25</xdr:col>
      <xdr:colOff>24204</xdr:colOff>
      <xdr:row>20</xdr:row>
      <xdr:rowOff>111050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54279E8-33D3-426B-804C-0DD6B5BAD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21</xdr:row>
      <xdr:rowOff>0</xdr:rowOff>
    </xdr:from>
    <xdr:to>
      <xdr:col>25</xdr:col>
      <xdr:colOff>24204</xdr:colOff>
      <xdr:row>35</xdr:row>
      <xdr:rowOff>20507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D86EF55-8495-4778-946E-1EF727224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0B2A36B3-87EB-43E4-98F9-C58F6A871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8</xdr:row>
      <xdr:rowOff>0</xdr:rowOff>
    </xdr:from>
    <xdr:to>
      <xdr:col>25</xdr:col>
      <xdr:colOff>24204</xdr:colOff>
      <xdr:row>20</xdr:row>
      <xdr:rowOff>111050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764235E-86B0-4CDE-8D14-0682021D10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21</xdr:row>
      <xdr:rowOff>0</xdr:rowOff>
    </xdr:from>
    <xdr:to>
      <xdr:col>25</xdr:col>
      <xdr:colOff>24204</xdr:colOff>
      <xdr:row>35</xdr:row>
      <xdr:rowOff>20507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9FAC03A-462D-442E-B75B-2D0D93E1D6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F8889129-BA5E-4968-9218-8CB184E36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8</xdr:row>
      <xdr:rowOff>0</xdr:rowOff>
    </xdr:from>
    <xdr:to>
      <xdr:col>25</xdr:col>
      <xdr:colOff>24204</xdr:colOff>
      <xdr:row>20</xdr:row>
      <xdr:rowOff>111050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2BB61F2-BBCD-4F75-9C30-2D388B20D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21</xdr:row>
      <xdr:rowOff>0</xdr:rowOff>
    </xdr:from>
    <xdr:to>
      <xdr:col>25</xdr:col>
      <xdr:colOff>24204</xdr:colOff>
      <xdr:row>35</xdr:row>
      <xdr:rowOff>20507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A79706F-2B29-4DFB-BA24-1DF17753C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F378A979-D667-438E-9E0E-86BFE915E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8</xdr:row>
      <xdr:rowOff>0</xdr:rowOff>
    </xdr:from>
    <xdr:to>
      <xdr:col>25</xdr:col>
      <xdr:colOff>24204</xdr:colOff>
      <xdr:row>20</xdr:row>
      <xdr:rowOff>111050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909EF50-D1BC-4C84-BA13-A924BB0BA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21</xdr:row>
      <xdr:rowOff>0</xdr:rowOff>
    </xdr:from>
    <xdr:to>
      <xdr:col>25</xdr:col>
      <xdr:colOff>24204</xdr:colOff>
      <xdr:row>35</xdr:row>
      <xdr:rowOff>20507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FB865B4-4E79-47C6-BC38-E6E5E8BF0A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51292D5A-CB61-47D0-84B9-A0088C49E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8</xdr:row>
      <xdr:rowOff>0</xdr:rowOff>
    </xdr:from>
    <xdr:to>
      <xdr:col>25</xdr:col>
      <xdr:colOff>24204</xdr:colOff>
      <xdr:row>20</xdr:row>
      <xdr:rowOff>111050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9D0509D-DD07-46DC-AF89-2FE4ED23C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21</xdr:row>
      <xdr:rowOff>0</xdr:rowOff>
    </xdr:from>
    <xdr:to>
      <xdr:col>25</xdr:col>
      <xdr:colOff>24204</xdr:colOff>
      <xdr:row>35</xdr:row>
      <xdr:rowOff>20507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D2DBB19-7BF7-47D2-8707-0705590F8F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6A026AA5-FD46-48E4-A548-2CCCB883C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0</xdr:colOff>
      <xdr:row>8</xdr:row>
      <xdr:rowOff>0</xdr:rowOff>
    </xdr:from>
    <xdr:to>
      <xdr:col>25</xdr:col>
      <xdr:colOff>24204</xdr:colOff>
      <xdr:row>20</xdr:row>
      <xdr:rowOff>111050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DC56290-E4C8-4F37-B7A2-0091267B06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21</xdr:row>
      <xdr:rowOff>0</xdr:rowOff>
    </xdr:from>
    <xdr:to>
      <xdr:col>25</xdr:col>
      <xdr:colOff>24204</xdr:colOff>
      <xdr:row>35</xdr:row>
      <xdr:rowOff>20507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D424823-6293-4042-9DC1-479661A5C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BBC2B18B-C397-4E9A-83DA-A616E8BBF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9525</xdr:colOff>
      <xdr:row>7</xdr:row>
      <xdr:rowOff>80962</xdr:rowOff>
    </xdr:from>
    <xdr:to>
      <xdr:col>25</xdr:col>
      <xdr:colOff>9525</xdr:colOff>
      <xdr:row>20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E47D921-0453-4EEE-9A26-0D48530B35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28575</xdr:colOff>
      <xdr:row>21</xdr:row>
      <xdr:rowOff>138112</xdr:rowOff>
    </xdr:from>
    <xdr:to>
      <xdr:col>25</xdr:col>
      <xdr:colOff>28575</xdr:colOff>
      <xdr:row>36</xdr:row>
      <xdr:rowOff>14287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5119A6C-20A0-432E-86BB-E6143386F5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32516582-1F6C-4B14-88CD-139E09491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18</xdr:col>
      <xdr:colOff>685800</xdr:colOff>
      <xdr:row>7</xdr:row>
      <xdr:rowOff>147637</xdr:rowOff>
    </xdr:from>
    <xdr:to>
      <xdr:col>24</xdr:col>
      <xdr:colOff>685800</xdr:colOff>
      <xdr:row>20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071868C-7AA1-4C55-9BD3-8DBFDB9D5D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742950</xdr:colOff>
      <xdr:row>22</xdr:row>
      <xdr:rowOff>61912</xdr:rowOff>
    </xdr:from>
    <xdr:to>
      <xdr:col>24</xdr:col>
      <xdr:colOff>742950</xdr:colOff>
      <xdr:row>36</xdr:row>
      <xdr:rowOff>128587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09BE2F9-8029-4895-B369-A5815C9C2A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045CFC0A-03DD-4A1F-AD41-9B6BF48FD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18</xdr:col>
      <xdr:colOff>695325</xdr:colOff>
      <xdr:row>7</xdr:row>
      <xdr:rowOff>176212</xdr:rowOff>
    </xdr:from>
    <xdr:to>
      <xdr:col>24</xdr:col>
      <xdr:colOff>695325</xdr:colOff>
      <xdr:row>20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1BB98BB-BF0A-4DF1-8C34-28B8D91F95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676275</xdr:colOff>
      <xdr:row>22</xdr:row>
      <xdr:rowOff>52387</xdr:rowOff>
    </xdr:from>
    <xdr:to>
      <xdr:col>24</xdr:col>
      <xdr:colOff>676275</xdr:colOff>
      <xdr:row>36</xdr:row>
      <xdr:rowOff>119062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5C2437A-A34A-49B1-8592-2548A3068B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44C53567-F3C7-4B03-A884-3A72F58E5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18</xdr:col>
      <xdr:colOff>742950</xdr:colOff>
      <xdr:row>7</xdr:row>
      <xdr:rowOff>128587</xdr:rowOff>
    </xdr:from>
    <xdr:to>
      <xdr:col>24</xdr:col>
      <xdr:colOff>742950</xdr:colOff>
      <xdr:row>20</xdr:row>
      <xdr:rowOff>80962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AB388BE-A3C9-49E8-81A0-AFFB4BCA47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676275</xdr:colOff>
      <xdr:row>22</xdr:row>
      <xdr:rowOff>185737</xdr:rowOff>
    </xdr:from>
    <xdr:to>
      <xdr:col>24</xdr:col>
      <xdr:colOff>676275</xdr:colOff>
      <xdr:row>37</xdr:row>
      <xdr:rowOff>61912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CD144D4-7461-4276-9184-718A97F66A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A2392093-419D-47C1-B4D1-4BF16DD7F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19</xdr:col>
      <xdr:colOff>19050</xdr:colOff>
      <xdr:row>7</xdr:row>
      <xdr:rowOff>166687</xdr:rowOff>
    </xdr:from>
    <xdr:to>
      <xdr:col>25</xdr:col>
      <xdr:colOff>19050</xdr:colOff>
      <xdr:row>20</xdr:row>
      <xdr:rowOff>119062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FAF34DD-C99E-4898-9DA0-431C2B4988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19050</xdr:colOff>
      <xdr:row>22</xdr:row>
      <xdr:rowOff>166687</xdr:rowOff>
    </xdr:from>
    <xdr:to>
      <xdr:col>25</xdr:col>
      <xdr:colOff>19050</xdr:colOff>
      <xdr:row>37</xdr:row>
      <xdr:rowOff>42862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8777C66-A52C-404A-A589-518771F264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152400</xdr:rowOff>
    </xdr:from>
    <xdr:ext cx="2762250" cy="1203614"/>
    <xdr:pic>
      <xdr:nvPicPr>
        <xdr:cNvPr id="2" name="Imagen 1">
          <a:extLst>
            <a:ext uri="{FF2B5EF4-FFF2-40B4-BE49-F238E27FC236}">
              <a16:creationId xmlns:a16="http://schemas.microsoft.com/office/drawing/2014/main" id="{11709819-21DB-49AF-844E-27936770F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2762250" cy="1203614"/>
        </a:xfrm>
        <a:prstGeom prst="rect">
          <a:avLst/>
        </a:prstGeom>
      </xdr:spPr>
    </xdr:pic>
    <xdr:clientData/>
  </xdr:oneCellAnchor>
  <xdr:twoCellAnchor>
    <xdr:from>
      <xdr:col>18</xdr:col>
      <xdr:colOff>657225</xdr:colOff>
      <xdr:row>7</xdr:row>
      <xdr:rowOff>185737</xdr:rowOff>
    </xdr:from>
    <xdr:to>
      <xdr:col>24</xdr:col>
      <xdr:colOff>657225</xdr:colOff>
      <xdr:row>20</xdr:row>
      <xdr:rowOff>138112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80F4A21-ECBD-4D0D-B986-97DE384F2D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628650</xdr:colOff>
      <xdr:row>22</xdr:row>
      <xdr:rowOff>185737</xdr:rowOff>
    </xdr:from>
    <xdr:to>
      <xdr:col>24</xdr:col>
      <xdr:colOff>628650</xdr:colOff>
      <xdr:row>37</xdr:row>
      <xdr:rowOff>61912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39BC226-B3F7-42EF-8C07-30705D3BD6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46431-A7CC-4E82-B9B6-31C420D000B1}">
  <dimension ref="A8:R38"/>
  <sheetViews>
    <sheetView topLeftCell="B19" zoomScaleNormal="100" workbookViewId="0">
      <selection activeCell="F37" sqref="F37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9" width="6.85546875" style="2" bestFit="1" customWidth="1"/>
    <col min="10" max="10" width="0.85546875" style="2" customWidth="1"/>
    <col min="11" max="11" width="6.7109375" style="2" bestFit="1" customWidth="1"/>
    <col min="12" max="12" width="6.7109375" style="2" customWidth="1"/>
    <col min="13" max="14" width="6.7109375" style="2" bestFit="1" customWidth="1"/>
    <col min="15" max="16" width="6.7109375" style="2" customWidth="1"/>
    <col min="17" max="17" width="6.7109375" style="2" bestFit="1" customWidth="1"/>
    <col min="18" max="18" width="0.85546875" style="2" customWidth="1"/>
    <col min="19" max="16384" width="11.42578125" style="2"/>
  </cols>
  <sheetData>
    <row r="8" spans="1:18" ht="15.75" customHeight="1" x14ac:dyDescent="0.25">
      <c r="A8" s="1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18" ht="16.5" customHeight="1" x14ac:dyDescent="0.25">
      <c r="A9" s="1"/>
      <c r="B9" s="70" t="s">
        <v>24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7.25" customHeight="1" thickBot="1" x14ac:dyDescent="0.3">
      <c r="A10" s="3"/>
      <c r="B10" s="71" t="s">
        <v>25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15.75" customHeight="1" thickTop="1" x14ac:dyDescent="0.25">
      <c r="B11" s="72" t="s">
        <v>0</v>
      </c>
      <c r="C11" s="74" t="s">
        <v>1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</row>
    <row r="12" spans="1:18" x14ac:dyDescent="0.25">
      <c r="B12" s="72"/>
      <c r="C12" s="75" t="s">
        <v>2</v>
      </c>
      <c r="D12" s="75"/>
      <c r="E12" s="75"/>
      <c r="F12" s="75"/>
      <c r="G12" s="75"/>
      <c r="H12" s="75"/>
      <c r="I12" s="75"/>
      <c r="J12" s="4"/>
      <c r="K12" s="75" t="s">
        <v>3</v>
      </c>
      <c r="L12" s="75"/>
      <c r="M12" s="75"/>
      <c r="N12" s="75"/>
      <c r="O12" s="75"/>
      <c r="P12" s="75"/>
      <c r="Q12" s="75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x14ac:dyDescent="0.25">
      <c r="B15" s="10" t="s">
        <v>5</v>
      </c>
      <c r="C15" s="11">
        <v>44.358084476328251</v>
      </c>
      <c r="D15" s="11">
        <v>46.109093079366758</v>
      </c>
      <c r="E15" s="11">
        <v>45.479202535594233</v>
      </c>
      <c r="F15" s="11">
        <v>46.167538420819092</v>
      </c>
      <c r="G15" s="11">
        <v>43.558048784322253</v>
      </c>
      <c r="H15" s="11">
        <v>41.913075135996735</v>
      </c>
      <c r="I15" s="11">
        <v>44.461441000000001</v>
      </c>
      <c r="J15" s="11"/>
      <c r="K15" s="11">
        <v>49.489496000000003</v>
      </c>
      <c r="L15" s="11">
        <v>52.813020000000002</v>
      </c>
      <c r="M15" s="11">
        <v>53.349902</v>
      </c>
      <c r="N15" s="11">
        <v>55.341555999999997</v>
      </c>
      <c r="O15" s="11">
        <v>53.418151000000002</v>
      </c>
      <c r="P15" s="11">
        <v>52.425887000000003</v>
      </c>
      <c r="Q15" s="11">
        <v>56.647993</v>
      </c>
      <c r="R15" s="11"/>
    </row>
    <row r="16" spans="1:18" x14ac:dyDescent="0.25">
      <c r="B16" s="10" t="s">
        <v>6</v>
      </c>
      <c r="C16" s="11">
        <v>33.308178604442986</v>
      </c>
      <c r="D16" s="11">
        <v>34.790102081405735</v>
      </c>
      <c r="E16" s="11">
        <v>35.651116027155297</v>
      </c>
      <c r="F16" s="11">
        <v>36.622035880645605</v>
      </c>
      <c r="G16" s="11">
        <v>35.913044100813742</v>
      </c>
      <c r="H16" s="11">
        <v>34.469860255977146</v>
      </c>
      <c r="I16" s="11">
        <v>35.416747000000001</v>
      </c>
      <c r="J16" s="11"/>
      <c r="K16" s="11">
        <v>37.161320000000003</v>
      </c>
      <c r="L16" s="11">
        <v>39.848329999999997</v>
      </c>
      <c r="M16" s="11">
        <v>41.820951999999998</v>
      </c>
      <c r="N16" s="11">
        <v>43.899253000000002</v>
      </c>
      <c r="O16" s="11">
        <v>44.042569999999998</v>
      </c>
      <c r="P16" s="11">
        <v>43.115734000000003</v>
      </c>
      <c r="Q16" s="11">
        <v>45.124215999999997</v>
      </c>
      <c r="R16" s="11"/>
    </row>
    <row r="17" spans="2:18" x14ac:dyDescent="0.25">
      <c r="B17" s="10" t="s">
        <v>7</v>
      </c>
      <c r="C17" s="11">
        <v>11.049905871885271</v>
      </c>
      <c r="D17" s="11">
        <v>11.318990997961023</v>
      </c>
      <c r="E17" s="11">
        <v>9.8280865084389308</v>
      </c>
      <c r="F17" s="11">
        <v>9.5455025401734925</v>
      </c>
      <c r="G17" s="11">
        <v>7.6450046835085104</v>
      </c>
      <c r="H17" s="11">
        <v>7.4432148800195854</v>
      </c>
      <c r="I17" s="11">
        <v>9.0446933999999999</v>
      </c>
      <c r="J17" s="11"/>
      <c r="K17" s="11">
        <v>12.328175999999999</v>
      </c>
      <c r="L17" s="11">
        <v>12.964689999999999</v>
      </c>
      <c r="M17" s="11">
        <v>11.52895</v>
      </c>
      <c r="N17" s="11">
        <v>11.442303000000001</v>
      </c>
      <c r="O17" s="11">
        <v>9.3755810000000004</v>
      </c>
      <c r="P17" s="11">
        <v>9.3101529999999997</v>
      </c>
      <c r="Q17" s="11">
        <v>11.523777000000001</v>
      </c>
      <c r="R17" s="11"/>
    </row>
    <row r="18" spans="2:18" x14ac:dyDescent="0.25">
      <c r="B18" s="10" t="s">
        <v>8</v>
      </c>
      <c r="C18" s="11">
        <v>32.26909983649994</v>
      </c>
      <c r="D18" s="11">
        <v>28.057694237329411</v>
      </c>
      <c r="E18" s="11">
        <v>28.571982555288173</v>
      </c>
      <c r="F18" s="11">
        <v>26.257829209153368</v>
      </c>
      <c r="G18" s="11">
        <v>26.795205356726264</v>
      </c>
      <c r="H18" s="11">
        <v>29.321767337784717</v>
      </c>
      <c r="I18" s="11">
        <v>26.349927999999998</v>
      </c>
      <c r="J18" s="11"/>
      <c r="K18" s="11">
        <v>36.002039000000003</v>
      </c>
      <c r="L18" s="11">
        <v>32.137079</v>
      </c>
      <c r="M18" s="11">
        <v>33.516692999999997</v>
      </c>
      <c r="N18" s="11">
        <v>31.475560000000002</v>
      </c>
      <c r="O18" s="11">
        <v>32.860754</v>
      </c>
      <c r="P18" s="11">
        <v>36.676375</v>
      </c>
      <c r="Q18" s="11">
        <v>33.572248000000002</v>
      </c>
      <c r="R18" s="11"/>
    </row>
    <row r="19" spans="2:18" x14ac:dyDescent="0.25">
      <c r="B19" s="10" t="s">
        <v>9</v>
      </c>
      <c r="C19" s="11">
        <v>4.6587953763221712</v>
      </c>
      <c r="D19" s="11">
        <v>5.8888247003278948</v>
      </c>
      <c r="E19" s="11">
        <v>6.1621900798705775</v>
      </c>
      <c r="F19" s="11">
        <v>7.0707401196633279</v>
      </c>
      <c r="G19" s="11">
        <v>7.0166780588524338</v>
      </c>
      <c r="H19" s="11">
        <v>6.8978560503660251</v>
      </c>
      <c r="I19" s="11">
        <v>7.7192772000000005</v>
      </c>
      <c r="J19" s="11"/>
      <c r="K19" s="11">
        <v>5.1977320000000002</v>
      </c>
      <c r="L19" s="11">
        <v>6.7450169999999998</v>
      </c>
      <c r="M19" s="11">
        <v>7.2286279999999996</v>
      </c>
      <c r="N19" s="11">
        <v>8.4757770000000008</v>
      </c>
      <c r="O19" s="11">
        <v>8.6050219999999999</v>
      </c>
      <c r="P19" s="11">
        <v>8.6280049999999999</v>
      </c>
      <c r="Q19" s="11">
        <v>9.8350740000000005</v>
      </c>
      <c r="R19" s="11"/>
    </row>
    <row r="20" spans="2:18" x14ac:dyDescent="0.25">
      <c r="B20" s="10" t="s">
        <v>10</v>
      </c>
      <c r="C20" s="11">
        <v>18.714020310849637</v>
      </c>
      <c r="D20" s="11">
        <v>19.944387982975936</v>
      </c>
      <c r="E20" s="11">
        <v>19.786624829247017</v>
      </c>
      <c r="F20" s="11">
        <v>20.50389225036421</v>
      </c>
      <c r="G20" s="11">
        <v>22.630067800099045</v>
      </c>
      <c r="H20" s="11">
        <v>21.867301475852528</v>
      </c>
      <c r="I20" s="11">
        <v>21.469355</v>
      </c>
      <c r="J20" s="11"/>
      <c r="K20" s="11">
        <v>20.878886999999999</v>
      </c>
      <c r="L20" s="11">
        <v>22.844156999999999</v>
      </c>
      <c r="M20" s="11">
        <v>23.210927999999999</v>
      </c>
      <c r="N20" s="11">
        <v>24.578250000000001</v>
      </c>
      <c r="O20" s="11">
        <v>27.752766999999999</v>
      </c>
      <c r="P20" s="11">
        <v>27.352149000000001</v>
      </c>
      <c r="Q20" s="11">
        <v>27.353946000000001</v>
      </c>
      <c r="R20" s="11"/>
    </row>
    <row r="21" spans="2:18" x14ac:dyDescent="0.25">
      <c r="B21" s="12" t="s">
        <v>11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2:18" x14ac:dyDescent="0.25">
      <c r="B22" s="13" t="s">
        <v>12</v>
      </c>
      <c r="C22" s="11">
        <v>76.627184312828192</v>
      </c>
      <c r="D22" s="11">
        <v>74.166787316696173</v>
      </c>
      <c r="E22" s="11">
        <v>74.051185090882399</v>
      </c>
      <c r="F22" s="11">
        <v>72.425367629972456</v>
      </c>
      <c r="G22" s="11">
        <v>70.353254141048509</v>
      </c>
      <c r="H22" s="11">
        <v>71.234842473781441</v>
      </c>
      <c r="I22" s="11">
        <v>70.811368000000002</v>
      </c>
      <c r="J22" s="11"/>
      <c r="K22" s="11">
        <v>85.491534999999999</v>
      </c>
      <c r="L22" s="11">
        <v>84.950098999999994</v>
      </c>
      <c r="M22" s="11">
        <v>86.866595000000004</v>
      </c>
      <c r="N22" s="11">
        <v>86.817115999999999</v>
      </c>
      <c r="O22" s="11">
        <v>86.278904999999995</v>
      </c>
      <c r="P22" s="11">
        <v>89.102261999999996</v>
      </c>
      <c r="Q22" s="11">
        <v>90.220241000000001</v>
      </c>
      <c r="R22" s="11"/>
    </row>
    <row r="23" spans="2:18" x14ac:dyDescent="0.25">
      <c r="B23" s="13" t="s">
        <v>13</v>
      </c>
      <c r="C23" s="11">
        <v>31.724500882214112</v>
      </c>
      <c r="D23" s="11">
        <v>28.244005879101397</v>
      </c>
      <c r="E23" s="11">
        <v>23.939778741866657</v>
      </c>
      <c r="F23" s="11">
        <v>22.120362195929008</v>
      </c>
      <c r="G23" s="11">
        <v>18.717432973201316</v>
      </c>
      <c r="H23" s="11">
        <v>18.779303879131977</v>
      </c>
      <c r="I23" s="11">
        <v>21.481441</v>
      </c>
      <c r="J23" s="11"/>
      <c r="K23" s="11">
        <v>35.394440000000003</v>
      </c>
      <c r="L23" s="11">
        <v>32.350479</v>
      </c>
      <c r="M23" s="11">
        <v>28.082833000000001</v>
      </c>
      <c r="N23" s="11">
        <v>26.515930999999998</v>
      </c>
      <c r="O23" s="11">
        <v>22.954440999999999</v>
      </c>
      <c r="P23" s="11">
        <v>23.489606999999999</v>
      </c>
      <c r="Q23" s="11">
        <v>27.369344999999999</v>
      </c>
      <c r="R23" s="11"/>
    </row>
    <row r="24" spans="2:18" x14ac:dyDescent="0.25">
      <c r="B24" s="14" t="s">
        <v>14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2:18" x14ac:dyDescent="0.25">
      <c r="B25" s="15" t="s">
        <v>15</v>
      </c>
      <c r="C25" s="11">
        <v>21.946353078495857</v>
      </c>
      <c r="D25" s="11">
        <v>20.666714900486578</v>
      </c>
      <c r="E25" s="11">
        <v>19.238882878358186</v>
      </c>
      <c r="F25" s="11">
        <v>18.659902158436914</v>
      </c>
      <c r="G25" s="11">
        <v>17.387457460325866</v>
      </c>
      <c r="H25" s="11">
        <v>16.893589583367177</v>
      </c>
      <c r="I25" s="11">
        <v>16.333098</v>
      </c>
      <c r="J25" s="11"/>
      <c r="K25" s="11">
        <v>24.485140999999999</v>
      </c>
      <c r="L25" s="11">
        <v>23.671505</v>
      </c>
      <c r="M25" s="11">
        <v>22.568393</v>
      </c>
      <c r="N25" s="11">
        <v>22.367837999999999</v>
      </c>
      <c r="O25" s="11">
        <v>21.323402999999999</v>
      </c>
      <c r="P25" s="11">
        <v>21.13091</v>
      </c>
      <c r="Q25" s="11">
        <v>20.809878999999999</v>
      </c>
      <c r="R25" s="11"/>
    </row>
    <row r="26" spans="2:18" x14ac:dyDescent="0.25">
      <c r="B26" s="13" t="s">
        <v>16</v>
      </c>
      <c r="C26" s="11">
        <v>38.400742921676375</v>
      </c>
      <c r="D26" s="11">
        <v>29.228194944104459</v>
      </c>
      <c r="E26" s="11">
        <v>21.540548201943817</v>
      </c>
      <c r="F26" s="11">
        <v>18.157083060432651</v>
      </c>
      <c r="G26" s="11">
        <v>15.539962288937762</v>
      </c>
      <c r="H26" s="11">
        <v>16.185179058261877</v>
      </c>
      <c r="I26" s="11">
        <v>28.19699</v>
      </c>
      <c r="J26" s="11"/>
      <c r="K26" s="11">
        <v>42.843000000000004</v>
      </c>
      <c r="L26" s="11">
        <v>33.477761999999998</v>
      </c>
      <c r="M26" s="11">
        <v>25.268388000000002</v>
      </c>
      <c r="N26" s="11">
        <v>21.765103</v>
      </c>
      <c r="O26" s="11">
        <v>19.057696</v>
      </c>
      <c r="P26" s="11">
        <v>20.244813000000001</v>
      </c>
      <c r="Q26" s="11">
        <v>35.925576</v>
      </c>
      <c r="R26" s="11"/>
    </row>
    <row r="27" spans="2:18" x14ac:dyDescent="0.25">
      <c r="B27" s="13" t="s">
        <v>17</v>
      </c>
      <c r="C27" s="11">
        <v>65.000234744405645</v>
      </c>
      <c r="D27" s="11">
        <v>60.739960345304446</v>
      </c>
      <c r="E27" s="11">
        <v>61.234794925630112</v>
      </c>
      <c r="F27" s="11">
        <v>58.472368116152865</v>
      </c>
      <c r="G27" s="11">
        <v>55.79952440661846</v>
      </c>
      <c r="H27" s="11">
        <v>57.289645732458503</v>
      </c>
      <c r="I27" s="11">
        <v>56.712523000000004</v>
      </c>
      <c r="J27" s="11"/>
      <c r="K27" s="11">
        <v>72.519561999999993</v>
      </c>
      <c r="L27" s="11">
        <v>69.571109000000007</v>
      </c>
      <c r="M27" s="11">
        <v>71.832181000000006</v>
      </c>
      <c r="N27" s="11">
        <v>70.091496000000006</v>
      </c>
      <c r="O27" s="11">
        <v>68.430691999999993</v>
      </c>
      <c r="P27" s="11">
        <v>71.659272999999999</v>
      </c>
      <c r="Q27" s="11">
        <v>72.257006000000004</v>
      </c>
      <c r="R27" s="11"/>
    </row>
    <row r="28" spans="2:18" x14ac:dyDescent="0.25">
      <c r="B28" s="13" t="s">
        <v>18</v>
      </c>
      <c r="C28" s="11">
        <v>17.695980700729351</v>
      </c>
      <c r="D28" s="11">
        <v>15.175357364106896</v>
      </c>
      <c r="E28" s="11">
        <v>13.550898963516413</v>
      </c>
      <c r="F28" s="11">
        <v>12.316463854857879</v>
      </c>
      <c r="G28" s="11">
        <v>12.048766578785955</v>
      </c>
      <c r="H28" s="11">
        <v>11.065681686225185</v>
      </c>
      <c r="I28" s="11">
        <v>9.3531300999999996</v>
      </c>
      <c r="J28" s="11"/>
      <c r="K28" s="11">
        <v>19.743079000000002</v>
      </c>
      <c r="L28" s="11">
        <v>17.381744000000001</v>
      </c>
      <c r="M28" s="11">
        <v>15.896038000000001</v>
      </c>
      <c r="N28" s="11">
        <v>14.763885999999999</v>
      </c>
      <c r="O28" s="11">
        <v>14.776209</v>
      </c>
      <c r="P28" s="11">
        <v>13.841222</v>
      </c>
      <c r="Q28" s="11">
        <v>11.916753999999999</v>
      </c>
      <c r="R28" s="11"/>
    </row>
    <row r="29" spans="2:18" x14ac:dyDescent="0.25">
      <c r="B29" s="13" t="s">
        <v>19</v>
      </c>
      <c r="C29" s="11">
        <v>22.857235766399793</v>
      </c>
      <c r="D29" s="11">
        <v>22.929475028185312</v>
      </c>
      <c r="E29" s="11">
        <v>21.210656719953246</v>
      </c>
      <c r="F29" s="11">
        <v>21.21725242913551</v>
      </c>
      <c r="G29" s="11">
        <v>19.309407508979326</v>
      </c>
      <c r="H29" s="11">
        <v>19.762211820404875</v>
      </c>
      <c r="I29" s="11">
        <v>18.011866000000001</v>
      </c>
      <c r="J29" s="11"/>
      <c r="K29" s="11">
        <v>25.501396</v>
      </c>
      <c r="L29" s="11">
        <v>26.263254</v>
      </c>
      <c r="M29" s="11">
        <v>24.881405000000001</v>
      </c>
      <c r="N29" s="11">
        <v>25.433363</v>
      </c>
      <c r="O29" s="11">
        <v>23.680419000000001</v>
      </c>
      <c r="P29" s="11">
        <v>24.719052000000001</v>
      </c>
      <c r="Q29" s="11">
        <v>22.948785000000001</v>
      </c>
      <c r="R29" s="11"/>
    </row>
    <row r="30" spans="2:18" x14ac:dyDescent="0.25">
      <c r="B30" s="16" t="s">
        <v>20</v>
      </c>
      <c r="C30" s="11">
        <v>21.743343535109492</v>
      </c>
      <c r="D30" s="11">
        <v>24.829696622921642</v>
      </c>
      <c r="E30" s="11">
        <v>23.316948656852617</v>
      </c>
      <c r="F30" s="11">
        <v>23.350737549903901</v>
      </c>
      <c r="G30" s="11">
        <v>20.054446347028893</v>
      </c>
      <c r="H30" s="11">
        <v>20.411806724296085</v>
      </c>
      <c r="I30" s="11">
        <v>20.797214</v>
      </c>
      <c r="J30" s="11"/>
      <c r="K30" s="11">
        <v>24.258647</v>
      </c>
      <c r="L30" s="11">
        <v>28.439754000000001</v>
      </c>
      <c r="M30" s="11">
        <v>27.352215000000001</v>
      </c>
      <c r="N30" s="11">
        <v>27.990796</v>
      </c>
      <c r="O30" s="11">
        <v>24.594110000000001</v>
      </c>
      <c r="P30" s="11">
        <v>25.531580999999999</v>
      </c>
      <c r="Q30" s="11">
        <v>26.497577</v>
      </c>
      <c r="R30" s="11"/>
    </row>
    <row r="31" spans="2:18" x14ac:dyDescent="0.25">
      <c r="B31" s="7" t="s">
        <v>21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2:18" ht="25.5" x14ac:dyDescent="0.25">
      <c r="B32" s="15" t="s">
        <v>22</v>
      </c>
      <c r="C32" s="11">
        <v>16.752952639155435</v>
      </c>
      <c r="D32" s="11">
        <v>19.403535065217326</v>
      </c>
      <c r="E32" s="11">
        <v>20.045739118999823</v>
      </c>
      <c r="F32" s="11">
        <v>20.552713842062889</v>
      </c>
      <c r="G32" s="11">
        <v>17.459986323506079</v>
      </c>
      <c r="H32" s="11">
        <v>16.810641873115081</v>
      </c>
      <c r="I32" s="11">
        <v>20.31803</v>
      </c>
      <c r="J32" s="11"/>
      <c r="K32" s="11">
        <v>18.69096</v>
      </c>
      <c r="L32" s="11">
        <v>22.224668000000001</v>
      </c>
      <c r="M32" s="11">
        <v>23.514885</v>
      </c>
      <c r="N32" s="11">
        <v>24.636773000000002</v>
      </c>
      <c r="O32" s="11">
        <v>21.41235</v>
      </c>
      <c r="P32" s="11">
        <v>21.027156999999999</v>
      </c>
      <c r="Q32" s="11">
        <v>25.887052000000001</v>
      </c>
      <c r="R32" s="11"/>
    </row>
    <row r="33" spans="1:18" ht="15.75" thickBot="1" x14ac:dyDescent="0.3">
      <c r="A33" s="17"/>
      <c r="B33" s="23" t="s">
        <v>23</v>
      </c>
      <c r="C33" s="18">
        <v>49.016879852650426</v>
      </c>
      <c r="D33" s="18">
        <v>51.99791777969466</v>
      </c>
      <c r="E33" s="18">
        <v>51.64139261546481</v>
      </c>
      <c r="F33" s="18">
        <v>53.238278540482419</v>
      </c>
      <c r="G33" s="18">
        <v>50.574726843174687</v>
      </c>
      <c r="H33" s="18">
        <v>48.810931186362758</v>
      </c>
      <c r="I33" s="18">
        <v>52.180718000000006</v>
      </c>
      <c r="J33" s="18"/>
      <c r="K33" s="18">
        <v>54.687227999999998</v>
      </c>
      <c r="L33" s="18">
        <v>59.558036999999999</v>
      </c>
      <c r="M33" s="18">
        <v>60.578530000000001</v>
      </c>
      <c r="N33" s="18">
        <v>63.817332999999998</v>
      </c>
      <c r="O33" s="18">
        <v>62.023173</v>
      </c>
      <c r="P33" s="18">
        <v>61.053891999999998</v>
      </c>
      <c r="Q33" s="18">
        <v>66.483067000000005</v>
      </c>
      <c r="R33" s="18"/>
    </row>
    <row r="34" spans="1:18" ht="15.75" thickTop="1" x14ac:dyDescent="0.25">
      <c r="B34" s="19" t="s">
        <v>26</v>
      </c>
      <c r="Q34" s="11"/>
    </row>
    <row r="35" spans="1:18" x14ac:dyDescent="0.25">
      <c r="B35" s="27"/>
      <c r="C35" s="27"/>
      <c r="D35" s="29"/>
      <c r="E35" s="29"/>
    </row>
    <row r="36" spans="1:18" x14ac:dyDescent="0.25">
      <c r="B36" s="27"/>
      <c r="C36" s="28"/>
      <c r="D36" s="29"/>
      <c r="E36" s="29"/>
    </row>
    <row r="37" spans="1:18" x14ac:dyDescent="0.25">
      <c r="B37" s="80"/>
      <c r="C37" s="80"/>
      <c r="D37" s="80"/>
      <c r="E37" s="80"/>
    </row>
    <row r="38" spans="1:18" x14ac:dyDescent="0.25">
      <c r="B38" s="80"/>
      <c r="C38" s="80"/>
      <c r="D38" s="80"/>
      <c r="E38" s="80"/>
    </row>
  </sheetData>
  <mergeCells count="9">
    <mergeCell ref="B37:E37"/>
    <mergeCell ref="B38:E38"/>
    <mergeCell ref="B8:R8"/>
    <mergeCell ref="B9:R9"/>
    <mergeCell ref="B10:R10"/>
    <mergeCell ref="B11:B13"/>
    <mergeCell ref="C11:R11"/>
    <mergeCell ref="C12:I12"/>
    <mergeCell ref="K12:Q1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33282-ECA5-4025-AE97-F1FF6822702A}">
  <dimension ref="A4:R39"/>
  <sheetViews>
    <sheetView zoomScaleNormal="100" workbookViewId="0">
      <selection activeCell="I38" sqref="I38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7" width="9.710937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x14ac:dyDescent="0.25">
      <c r="A6" s="1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x14ac:dyDescent="0.25">
      <c r="A7" s="1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x14ac:dyDescent="0.25">
      <c r="A8" s="1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15.75" customHeight="1" x14ac:dyDescent="0.25">
      <c r="A9" s="1"/>
      <c r="B9" s="70" t="s">
        <v>45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85">
        <v>77.011597861333868</v>
      </c>
      <c r="D15" s="85">
        <v>78.483396409951183</v>
      </c>
      <c r="E15" s="85">
        <v>74.687344373186036</v>
      </c>
      <c r="F15" s="85">
        <v>76.208532264627763</v>
      </c>
      <c r="G15" s="85">
        <v>77.081386679897207</v>
      </c>
      <c r="H15" s="85">
        <v>76.411031928808413</v>
      </c>
      <c r="I15" s="85">
        <v>74.434644000000006</v>
      </c>
      <c r="J15" s="87"/>
      <c r="K15" s="82">
        <v>3682.2979999999998</v>
      </c>
      <c r="L15" s="82">
        <v>3866.3150000000001</v>
      </c>
      <c r="M15" s="82">
        <v>3782.3150000000001</v>
      </c>
      <c r="N15" s="82">
        <v>3960.9879999999998</v>
      </c>
      <c r="O15" s="82">
        <v>4113.95</v>
      </c>
      <c r="P15" s="82">
        <v>4174.5959999999995</v>
      </c>
      <c r="Q15" s="82">
        <v>4158.3770000000004</v>
      </c>
      <c r="R15" s="11"/>
    </row>
    <row r="16" spans="1:18" ht="15" customHeight="1" x14ac:dyDescent="0.25">
      <c r="B16" s="10" t="s">
        <v>6</v>
      </c>
      <c r="C16" s="85">
        <v>38.303246794667345</v>
      </c>
      <c r="D16" s="85">
        <v>40.210694308326524</v>
      </c>
      <c r="E16" s="85">
        <v>42.516465588430783</v>
      </c>
      <c r="F16" s="85">
        <v>44.379108293979968</v>
      </c>
      <c r="G16" s="85">
        <v>49.00226731452792</v>
      </c>
      <c r="H16" s="85">
        <v>46.698705664042265</v>
      </c>
      <c r="I16" s="85">
        <v>46.239198999999999</v>
      </c>
      <c r="J16" s="87"/>
      <c r="K16" s="82">
        <v>1831.4639999999999</v>
      </c>
      <c r="L16" s="82">
        <v>1980.893</v>
      </c>
      <c r="M16" s="82">
        <v>2153.1179999999999</v>
      </c>
      <c r="N16" s="82">
        <v>2306.6329999999998</v>
      </c>
      <c r="O16" s="82">
        <v>2615.3249999999998</v>
      </c>
      <c r="P16" s="82">
        <v>2551.31</v>
      </c>
      <c r="Q16" s="82">
        <v>2583.2060000000001</v>
      </c>
      <c r="R16" s="11"/>
    </row>
    <row r="17" spans="2:18" ht="15" customHeight="1" x14ac:dyDescent="0.25">
      <c r="B17" s="10" t="s">
        <v>7</v>
      </c>
      <c r="C17" s="85">
        <v>38.70835106666653</v>
      </c>
      <c r="D17" s="85">
        <v>38.272702101624674</v>
      </c>
      <c r="E17" s="85">
        <v>32.17087878475526</v>
      </c>
      <c r="F17" s="85">
        <v>31.829423970647792</v>
      </c>
      <c r="G17" s="85">
        <v>28.079119365369277</v>
      </c>
      <c r="H17" s="85">
        <v>29.712326264766141</v>
      </c>
      <c r="I17" s="85">
        <v>28.195446</v>
      </c>
      <c r="J17" s="87"/>
      <c r="K17" s="82">
        <v>1850.8340000000001</v>
      </c>
      <c r="L17" s="82">
        <v>1885.422</v>
      </c>
      <c r="M17" s="82">
        <v>1629.1969999999999</v>
      </c>
      <c r="N17" s="82">
        <v>1654.355</v>
      </c>
      <c r="O17" s="82">
        <v>1498.625</v>
      </c>
      <c r="P17" s="82">
        <v>1623.2860000000001</v>
      </c>
      <c r="Q17" s="82">
        <v>1575.171</v>
      </c>
      <c r="R17" s="11"/>
    </row>
    <row r="18" spans="2:18" ht="15" customHeight="1" x14ac:dyDescent="0.25">
      <c r="B18" s="10" t="s">
        <v>8</v>
      </c>
      <c r="C18" s="85">
        <v>15.904284965863116</v>
      </c>
      <c r="D18" s="85">
        <v>13.019082943654892</v>
      </c>
      <c r="E18" s="85">
        <v>17.174427224212007</v>
      </c>
      <c r="F18" s="85">
        <v>15.26349357824289</v>
      </c>
      <c r="G18" s="85">
        <v>13.798447898513643</v>
      </c>
      <c r="H18" s="85">
        <v>15.045241538970103</v>
      </c>
      <c r="I18" s="85">
        <v>16.863629</v>
      </c>
      <c r="J18" s="87"/>
      <c r="K18" s="82">
        <v>760.46100000000001</v>
      </c>
      <c r="L18" s="82">
        <v>641.35699999999997</v>
      </c>
      <c r="M18" s="82">
        <v>869.74699999999996</v>
      </c>
      <c r="N18" s="82">
        <v>793.33</v>
      </c>
      <c r="O18" s="82">
        <v>736.44399999999996</v>
      </c>
      <c r="P18" s="82">
        <v>821.97299999999996</v>
      </c>
      <c r="Q18" s="82">
        <v>942.10599999999999</v>
      </c>
      <c r="R18" s="11"/>
    </row>
    <row r="19" spans="2:18" ht="15" customHeight="1" x14ac:dyDescent="0.25">
      <c r="B19" s="10" t="s">
        <v>9</v>
      </c>
      <c r="C19" s="85">
        <v>1.4759431431866878</v>
      </c>
      <c r="D19" s="85">
        <v>2.3693721271449228</v>
      </c>
      <c r="E19" s="85">
        <v>1.7304023262913495</v>
      </c>
      <c r="F19" s="85">
        <v>2.4968999906687075</v>
      </c>
      <c r="G19" s="85">
        <v>2.7270916636984786</v>
      </c>
      <c r="H19" s="85">
        <v>2.5048587476310287</v>
      </c>
      <c r="I19" s="85">
        <v>2.6574947</v>
      </c>
      <c r="J19" s="87"/>
      <c r="K19" s="82">
        <v>70.572000000000003</v>
      </c>
      <c r="L19" s="82">
        <v>116.72199999999999</v>
      </c>
      <c r="M19" s="82">
        <v>87.631</v>
      </c>
      <c r="N19" s="82">
        <v>129.77799999999999</v>
      </c>
      <c r="O19" s="82">
        <v>145.54900000000001</v>
      </c>
      <c r="P19" s="82">
        <v>136.84899999999999</v>
      </c>
      <c r="Q19" s="82">
        <v>148.464</v>
      </c>
      <c r="R19" s="11"/>
    </row>
    <row r="20" spans="2:18" ht="15" customHeight="1" x14ac:dyDescent="0.25">
      <c r="B20" s="10" t="s">
        <v>10</v>
      </c>
      <c r="C20" s="85">
        <v>5.6081740296163227</v>
      </c>
      <c r="D20" s="85">
        <v>6.1281485192489917</v>
      </c>
      <c r="E20" s="85">
        <v>6.4078260763106023</v>
      </c>
      <c r="F20" s="85">
        <v>6.0310741664606402</v>
      </c>
      <c r="G20" s="85">
        <v>6.3930737578906802</v>
      </c>
      <c r="H20" s="85">
        <v>6.0388677845904581</v>
      </c>
      <c r="I20" s="85">
        <v>6.0442324999999997</v>
      </c>
      <c r="J20" s="87"/>
      <c r="K20" s="82">
        <v>268.154</v>
      </c>
      <c r="L20" s="82">
        <v>301.89</v>
      </c>
      <c r="M20" s="82">
        <v>324.505</v>
      </c>
      <c r="N20" s="82">
        <v>313.46899999999999</v>
      </c>
      <c r="O20" s="82">
        <v>341.20800000000003</v>
      </c>
      <c r="P20" s="82">
        <v>329.92399999999998</v>
      </c>
      <c r="Q20" s="82">
        <v>337.66800000000001</v>
      </c>
      <c r="R20" s="11"/>
    </row>
    <row r="21" spans="2:18" x14ac:dyDescent="0.25">
      <c r="B21" s="12" t="s">
        <v>11</v>
      </c>
      <c r="C21" s="85"/>
      <c r="D21" s="85"/>
      <c r="E21" s="85"/>
      <c r="F21" s="85"/>
      <c r="G21" s="85"/>
      <c r="H21" s="85"/>
      <c r="I21" s="85"/>
      <c r="J21" s="87"/>
      <c r="K21" s="82"/>
      <c r="L21" s="82"/>
      <c r="M21" s="82"/>
      <c r="N21" s="82"/>
      <c r="O21" s="82"/>
      <c r="P21" s="82"/>
      <c r="Q21" s="82"/>
      <c r="R21" s="11"/>
    </row>
    <row r="22" spans="2:18" x14ac:dyDescent="0.25">
      <c r="B22" s="13" t="s">
        <v>12</v>
      </c>
      <c r="C22" s="85">
        <v>92.915882827196995</v>
      </c>
      <c r="D22" s="85">
        <v>91.502479353606077</v>
      </c>
      <c r="E22" s="85">
        <v>91.861771597398047</v>
      </c>
      <c r="F22" s="85">
        <v>91.47202584287065</v>
      </c>
      <c r="G22" s="85">
        <v>90.879834578410851</v>
      </c>
      <c r="H22" s="85">
        <v>91.456273467778516</v>
      </c>
      <c r="I22" s="85">
        <v>91.298272999999995</v>
      </c>
      <c r="J22" s="87"/>
      <c r="K22" s="82">
        <v>4442.759</v>
      </c>
      <c r="L22" s="82">
        <v>4507.6719999999996</v>
      </c>
      <c r="M22" s="82">
        <v>4652.0619999999999</v>
      </c>
      <c r="N22" s="82">
        <v>4754.3180000000002</v>
      </c>
      <c r="O22" s="82">
        <v>4850.3940000000002</v>
      </c>
      <c r="P22" s="82">
        <v>4996.5690000000004</v>
      </c>
      <c r="Q22" s="82">
        <v>5100.4830000000002</v>
      </c>
      <c r="R22" s="11"/>
    </row>
    <row r="23" spans="2:18" x14ac:dyDescent="0.25">
      <c r="B23" s="13" t="s">
        <v>13</v>
      </c>
      <c r="C23" s="85">
        <v>61.911770088162989</v>
      </c>
      <c r="D23" s="85">
        <v>57.187019668374781</v>
      </c>
      <c r="E23" s="85">
        <v>49.755913967028938</v>
      </c>
      <c r="F23" s="85">
        <v>47.963748409110806</v>
      </c>
      <c r="G23" s="85">
        <v>40.633944964270263</v>
      </c>
      <c r="H23" s="85">
        <v>43.306258330523697</v>
      </c>
      <c r="I23" s="85">
        <v>47.968296000000002</v>
      </c>
      <c r="J23" s="87"/>
      <c r="K23" s="82">
        <v>2960.3020000000001</v>
      </c>
      <c r="L23" s="82">
        <v>2817.1950000000002</v>
      </c>
      <c r="M23" s="82">
        <v>2519.7379999999998</v>
      </c>
      <c r="N23" s="82">
        <v>2492.9470000000001</v>
      </c>
      <c r="O23" s="82">
        <v>2168.6950000000002</v>
      </c>
      <c r="P23" s="82">
        <v>2365.9690000000001</v>
      </c>
      <c r="Q23" s="82">
        <v>2679.8040000000001</v>
      </c>
      <c r="R23" s="11"/>
    </row>
    <row r="24" spans="2:18" x14ac:dyDescent="0.25">
      <c r="B24" s="14" t="s">
        <v>14</v>
      </c>
      <c r="C24" s="85"/>
      <c r="D24" s="85"/>
      <c r="E24" s="85"/>
      <c r="F24" s="85"/>
      <c r="G24" s="85"/>
      <c r="H24" s="85"/>
      <c r="I24" s="85"/>
      <c r="J24" s="87"/>
      <c r="K24" s="82"/>
      <c r="L24" s="82"/>
      <c r="M24" s="82"/>
      <c r="N24" s="82"/>
      <c r="O24" s="82"/>
      <c r="P24" s="82"/>
      <c r="Q24" s="82"/>
      <c r="R24" s="11"/>
    </row>
    <row r="25" spans="2:18" x14ac:dyDescent="0.25">
      <c r="B25" s="15" t="s">
        <v>15</v>
      </c>
      <c r="C25" s="85">
        <v>37.971697077372404</v>
      </c>
      <c r="D25" s="85">
        <v>35.014241972245209</v>
      </c>
      <c r="E25" s="85">
        <v>33.480404992063896</v>
      </c>
      <c r="F25" s="85">
        <v>30.666360112860541</v>
      </c>
      <c r="G25" s="85">
        <v>29.011901668137174</v>
      </c>
      <c r="H25" s="85">
        <v>29.19041129037867</v>
      </c>
      <c r="I25" s="85">
        <v>29.521668999999999</v>
      </c>
      <c r="J25" s="87"/>
      <c r="K25" s="82">
        <v>1815.6110000000001</v>
      </c>
      <c r="L25" s="82">
        <v>1724.9010000000001</v>
      </c>
      <c r="M25" s="82">
        <v>1695.5139999999999</v>
      </c>
      <c r="N25" s="82">
        <v>1593.904</v>
      </c>
      <c r="O25" s="82">
        <v>1548.4090000000001</v>
      </c>
      <c r="P25" s="82">
        <v>1594.7719999999999</v>
      </c>
      <c r="Q25" s="82">
        <v>1649.2619999999999</v>
      </c>
      <c r="R25" s="11"/>
    </row>
    <row r="26" spans="2:18" x14ac:dyDescent="0.25">
      <c r="B26" s="13" t="s">
        <v>16</v>
      </c>
      <c r="C26" s="85">
        <v>51.122276865869075</v>
      </c>
      <c r="D26" s="85">
        <v>35.387870451642655</v>
      </c>
      <c r="E26" s="85">
        <v>24.94250817207384</v>
      </c>
      <c r="F26" s="85">
        <v>20.65217077612305</v>
      </c>
      <c r="G26" s="85">
        <v>15.038435300031797</v>
      </c>
      <c r="H26" s="85">
        <v>17.592253972019325</v>
      </c>
      <c r="I26" s="85">
        <v>37.092979999999997</v>
      </c>
      <c r="J26" s="87"/>
      <c r="K26" s="82">
        <v>2444.404</v>
      </c>
      <c r="L26" s="82">
        <v>1743.307</v>
      </c>
      <c r="M26" s="82">
        <v>1263.1379999999999</v>
      </c>
      <c r="N26" s="82">
        <v>1073.4100000000001</v>
      </c>
      <c r="O26" s="82">
        <v>802.62400000000002</v>
      </c>
      <c r="P26" s="82">
        <v>961.125</v>
      </c>
      <c r="Q26" s="82">
        <v>2072.2420000000002</v>
      </c>
      <c r="R26" s="11"/>
    </row>
    <row r="27" spans="2:18" x14ac:dyDescent="0.25">
      <c r="B27" s="13" t="s">
        <v>17</v>
      </c>
      <c r="C27" s="85">
        <v>85.422562237463879</v>
      </c>
      <c r="D27" s="85">
        <v>82.370200337617561</v>
      </c>
      <c r="E27" s="85">
        <v>83.28760052430809</v>
      </c>
      <c r="F27" s="85">
        <v>82.758407061768352</v>
      </c>
      <c r="G27" s="85">
        <v>81.100347357607077</v>
      </c>
      <c r="H27" s="85">
        <v>83.60276548676616</v>
      </c>
      <c r="I27" s="85">
        <v>79.950058999999996</v>
      </c>
      <c r="J27" s="87"/>
      <c r="K27" s="82">
        <v>4084.4670000000001</v>
      </c>
      <c r="L27" s="82">
        <v>4057.79</v>
      </c>
      <c r="M27" s="82">
        <v>4217.8490000000002</v>
      </c>
      <c r="N27" s="82">
        <v>4301.4219999999996</v>
      </c>
      <c r="O27" s="82">
        <v>4328.4480000000003</v>
      </c>
      <c r="P27" s="82">
        <v>4567.5050000000001</v>
      </c>
      <c r="Q27" s="82">
        <v>4466.5020000000004</v>
      </c>
      <c r="R27" s="11"/>
    </row>
    <row r="28" spans="2:18" x14ac:dyDescent="0.25">
      <c r="B28" s="13" t="s">
        <v>18</v>
      </c>
      <c r="C28" s="85">
        <v>38.352248307795591</v>
      </c>
      <c r="D28" s="85">
        <v>33.250843840915387</v>
      </c>
      <c r="E28" s="85">
        <v>29.147557026798715</v>
      </c>
      <c r="F28" s="85">
        <v>26.902212863138796</v>
      </c>
      <c r="G28" s="85">
        <v>24.525519326696958</v>
      </c>
      <c r="H28" s="85">
        <v>23.585636776903222</v>
      </c>
      <c r="I28" s="85">
        <v>20.005585</v>
      </c>
      <c r="J28" s="87"/>
      <c r="K28" s="82">
        <v>1833.807</v>
      </c>
      <c r="L28" s="82">
        <v>1638.0309999999999</v>
      </c>
      <c r="M28" s="82">
        <v>1476.09</v>
      </c>
      <c r="N28" s="82">
        <v>1398.26</v>
      </c>
      <c r="O28" s="82">
        <v>1308.9639999999999</v>
      </c>
      <c r="P28" s="82">
        <v>1288.5640000000001</v>
      </c>
      <c r="Q28" s="82">
        <v>1117.635</v>
      </c>
      <c r="R28" s="11"/>
    </row>
    <row r="29" spans="2:18" x14ac:dyDescent="0.25">
      <c r="B29" s="13" t="s">
        <v>19</v>
      </c>
      <c r="C29" s="85">
        <v>53.161810609047187</v>
      </c>
      <c r="D29" s="85">
        <v>60.694145932309219</v>
      </c>
      <c r="E29" s="85">
        <v>56.842781423633113</v>
      </c>
      <c r="F29" s="85">
        <v>57.380908175270541</v>
      </c>
      <c r="G29" s="85">
        <v>52.304890755386154</v>
      </c>
      <c r="H29" s="85">
        <v>57.111032038631308</v>
      </c>
      <c r="I29" s="85">
        <v>55.845122999999994</v>
      </c>
      <c r="J29" s="87"/>
      <c r="K29" s="82">
        <v>2541.924</v>
      </c>
      <c r="L29" s="82">
        <v>2989.9659999999999</v>
      </c>
      <c r="M29" s="82">
        <v>2878.6309999999999</v>
      </c>
      <c r="N29" s="82">
        <v>2982.41</v>
      </c>
      <c r="O29" s="82">
        <v>2791.5909999999999</v>
      </c>
      <c r="P29" s="82">
        <v>3120.1709999999998</v>
      </c>
      <c r="Q29" s="82">
        <v>3119.8519999999999</v>
      </c>
      <c r="R29" s="11"/>
    </row>
    <row r="30" spans="2:18" x14ac:dyDescent="0.25">
      <c r="B30" s="13" t="s">
        <v>20</v>
      </c>
      <c r="C30" s="85">
        <v>26.206189081425542</v>
      </c>
      <c r="D30" s="85">
        <v>30.311914619619984</v>
      </c>
      <c r="E30" s="85">
        <v>24.72989800161842</v>
      </c>
      <c r="F30" s="85">
        <v>27.523311396779071</v>
      </c>
      <c r="G30" s="85">
        <v>19.428399159026981</v>
      </c>
      <c r="H30" s="85">
        <v>22.343173830230654</v>
      </c>
      <c r="I30" s="85">
        <v>21.123488999999999</v>
      </c>
      <c r="J30" s="87"/>
      <c r="K30" s="82">
        <v>1253.0450000000001</v>
      </c>
      <c r="L30" s="82">
        <v>1493.251</v>
      </c>
      <c r="M30" s="82">
        <v>1252.3710000000001</v>
      </c>
      <c r="N30" s="82">
        <v>1430.5419999999999</v>
      </c>
      <c r="O30" s="82">
        <v>1036.923</v>
      </c>
      <c r="P30" s="82">
        <v>1220.684</v>
      </c>
      <c r="Q30" s="82">
        <v>1180.088</v>
      </c>
      <c r="R30" s="11"/>
    </row>
    <row r="31" spans="2:18" x14ac:dyDescent="0.25">
      <c r="B31" s="7" t="s">
        <v>21</v>
      </c>
      <c r="C31" s="85"/>
      <c r="D31" s="85"/>
      <c r="E31" s="85"/>
      <c r="F31" s="85"/>
      <c r="G31" s="85"/>
      <c r="H31" s="85"/>
      <c r="I31" s="85"/>
      <c r="J31" s="87"/>
      <c r="K31" s="82"/>
      <c r="L31" s="82"/>
      <c r="M31" s="82"/>
      <c r="N31" s="82"/>
      <c r="O31" s="82"/>
      <c r="P31" s="82"/>
      <c r="Q31" s="82"/>
      <c r="R31" s="11"/>
    </row>
    <row r="32" spans="2:18" ht="15" customHeight="1" x14ac:dyDescent="0.25">
      <c r="B32" s="15" t="s">
        <v>22</v>
      </c>
      <c r="C32" s="85">
        <v>48.227339414428783</v>
      </c>
      <c r="D32" s="85">
        <v>50.89144271828421</v>
      </c>
      <c r="E32" s="85">
        <v>46.704690456415804</v>
      </c>
      <c r="F32" s="85">
        <v>48.457864403812167</v>
      </c>
      <c r="G32" s="85">
        <v>49.883767575622272</v>
      </c>
      <c r="H32" s="85">
        <v>50.702848183401294</v>
      </c>
      <c r="I32" s="85">
        <v>45.198907999999996</v>
      </c>
      <c r="J32" s="87"/>
      <c r="K32" s="82">
        <v>2305.9830000000002</v>
      </c>
      <c r="L32" s="82">
        <v>2507.0569999999998</v>
      </c>
      <c r="M32" s="82">
        <v>2365.2179999999998</v>
      </c>
      <c r="N32" s="82">
        <v>2518.6289999999999</v>
      </c>
      <c r="O32" s="82">
        <v>2662.3719999999998</v>
      </c>
      <c r="P32" s="82">
        <v>2770.07</v>
      </c>
      <c r="Q32" s="82">
        <v>2525.0889999999999</v>
      </c>
      <c r="R32" s="11"/>
    </row>
    <row r="33" spans="1:18" ht="15" customHeight="1" thickBot="1" x14ac:dyDescent="0.3">
      <c r="A33" s="17"/>
      <c r="B33" s="35" t="s">
        <v>23</v>
      </c>
      <c r="C33" s="86">
        <v>78.487541004520565</v>
      </c>
      <c r="D33" s="86">
        <v>80.852768537096125</v>
      </c>
      <c r="E33" s="86">
        <v>76.417746699477391</v>
      </c>
      <c r="F33" s="86">
        <v>78.705432255296472</v>
      </c>
      <c r="G33" s="86">
        <v>79.808478343595681</v>
      </c>
      <c r="H33" s="86">
        <v>78.915890676439432</v>
      </c>
      <c r="I33" s="86">
        <v>77.092139000000003</v>
      </c>
      <c r="J33" s="89"/>
      <c r="K33" s="83">
        <v>3752.87</v>
      </c>
      <c r="L33" s="83">
        <v>3983.0369999999998</v>
      </c>
      <c r="M33" s="83">
        <v>3869.9459999999999</v>
      </c>
      <c r="N33" s="83">
        <v>4090.7660000000001</v>
      </c>
      <c r="O33" s="83">
        <v>4259.4989999999998</v>
      </c>
      <c r="P33" s="83">
        <v>4311.4449999999997</v>
      </c>
      <c r="Q33" s="83">
        <v>4306.8410000000003</v>
      </c>
      <c r="R33" s="18"/>
    </row>
    <row r="34" spans="1:18" ht="15.75" thickTop="1" x14ac:dyDescent="0.25">
      <c r="B34" s="19" t="s">
        <v>36</v>
      </c>
    </row>
    <row r="35" spans="1:18" x14ac:dyDescent="0.25">
      <c r="B35" s="19" t="s">
        <v>35</v>
      </c>
    </row>
    <row r="36" spans="1:18" x14ac:dyDescent="0.25">
      <c r="B36" s="34"/>
      <c r="C36" s="34"/>
      <c r="D36" s="32"/>
      <c r="E36" s="32"/>
    </row>
    <row r="37" spans="1:18" x14ac:dyDescent="0.25">
      <c r="B37" s="34"/>
      <c r="C37" s="33"/>
      <c r="D37" s="32"/>
      <c r="E37" s="32"/>
    </row>
    <row r="38" spans="1:18" x14ac:dyDescent="0.25">
      <c r="B38" s="81"/>
      <c r="C38" s="81"/>
      <c r="D38" s="81"/>
      <c r="E38" s="81"/>
    </row>
    <row r="39" spans="1:18" x14ac:dyDescent="0.25">
      <c r="B39" s="81"/>
      <c r="C39" s="81"/>
      <c r="D39" s="81"/>
      <c r="E39" s="81"/>
    </row>
  </sheetData>
  <mergeCells count="9">
    <mergeCell ref="B4:R4"/>
    <mergeCell ref="B9:R9"/>
    <mergeCell ref="B10:R10"/>
    <mergeCell ref="B38:E38"/>
    <mergeCell ref="B39:E39"/>
    <mergeCell ref="C12:I12"/>
    <mergeCell ref="K12:Q12"/>
    <mergeCell ref="B11:B13"/>
    <mergeCell ref="C11:R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29202-2EBE-4CC6-9F0A-F0A529F1A81A}">
  <dimension ref="A4:R52"/>
  <sheetViews>
    <sheetView zoomScaleNormal="100" workbookViewId="0">
      <selection activeCell="Q2" sqref="Q2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7" width="9.710937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x14ac:dyDescent="0.25">
      <c r="A6" s="1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x14ac:dyDescent="0.25">
      <c r="A7" s="1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x14ac:dyDescent="0.25">
      <c r="A8" s="1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15.75" customHeight="1" x14ac:dyDescent="0.25">
      <c r="A9" s="1"/>
      <c r="B9" s="70" t="s">
        <v>46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36">
        <v>32.071298638431543</v>
      </c>
      <c r="D15" s="36">
        <v>38.806587959948921</v>
      </c>
      <c r="E15" s="36">
        <v>35.254501239729748</v>
      </c>
      <c r="F15" s="36">
        <v>34.390659341853826</v>
      </c>
      <c r="G15" s="36">
        <v>30.60839305277705</v>
      </c>
      <c r="H15" s="36">
        <v>26.280729994146668</v>
      </c>
      <c r="I15" s="36">
        <v>25.499606000000004</v>
      </c>
      <c r="J15" s="11"/>
      <c r="K15" s="38">
        <v>1105.0909999999999</v>
      </c>
      <c r="L15" s="38">
        <v>1371.575</v>
      </c>
      <c r="M15" s="38">
        <v>1272.7090000000001</v>
      </c>
      <c r="N15" s="38">
        <v>1265.546</v>
      </c>
      <c r="O15" s="38">
        <v>1149.961</v>
      </c>
      <c r="P15" s="38">
        <v>1005.732</v>
      </c>
      <c r="Q15" s="38">
        <v>992.47400000000005</v>
      </c>
      <c r="R15" s="11"/>
    </row>
    <row r="16" spans="1:18" ht="15" customHeight="1" x14ac:dyDescent="0.25">
      <c r="B16" s="10" t="s">
        <v>6</v>
      </c>
      <c r="C16" s="36">
        <v>25.380673830698381</v>
      </c>
      <c r="D16" s="36">
        <v>32.245733135618707</v>
      </c>
      <c r="E16" s="36">
        <v>31.47921877220357</v>
      </c>
      <c r="F16" s="36">
        <v>28.947186780553448</v>
      </c>
      <c r="G16" s="36">
        <v>27.391235375346152</v>
      </c>
      <c r="H16" s="36">
        <v>23.671868467263149</v>
      </c>
      <c r="I16" s="36">
        <v>22.333666999999998</v>
      </c>
      <c r="J16" s="11"/>
      <c r="K16" s="38">
        <v>874.55</v>
      </c>
      <c r="L16" s="38">
        <v>1139.6890000000001</v>
      </c>
      <c r="M16" s="38">
        <v>1136.4190000000001</v>
      </c>
      <c r="N16" s="38">
        <v>1065.231</v>
      </c>
      <c r="O16" s="38">
        <v>1029.0920000000001</v>
      </c>
      <c r="P16" s="38">
        <v>905.89400000000001</v>
      </c>
      <c r="Q16" s="38">
        <v>869.25199999999995</v>
      </c>
      <c r="R16" s="11"/>
    </row>
    <row r="17" spans="2:18" ht="15" customHeight="1" x14ac:dyDescent="0.25">
      <c r="B17" s="10" t="s">
        <v>7</v>
      </c>
      <c r="C17" s="36">
        <v>6.6906248077331618</v>
      </c>
      <c r="D17" s="36">
        <v>6.5608548243302156</v>
      </c>
      <c r="E17" s="36">
        <v>3.7752824675261718</v>
      </c>
      <c r="F17" s="36">
        <v>5.4434725613003794</v>
      </c>
      <c r="G17" s="36">
        <v>3.2171576774308943</v>
      </c>
      <c r="H17" s="36">
        <v>2.6088615268835187</v>
      </c>
      <c r="I17" s="36">
        <v>3.1659393000000002</v>
      </c>
      <c r="J17" s="11"/>
      <c r="K17" s="38">
        <v>230.541</v>
      </c>
      <c r="L17" s="38">
        <v>231.886</v>
      </c>
      <c r="M17" s="38">
        <v>136.29</v>
      </c>
      <c r="N17" s="38">
        <v>200.315</v>
      </c>
      <c r="O17" s="38">
        <v>120.869</v>
      </c>
      <c r="P17" s="38">
        <v>99.837999999999994</v>
      </c>
      <c r="Q17" s="38">
        <v>123.22199999999999</v>
      </c>
      <c r="R17" s="11"/>
    </row>
    <row r="18" spans="2:18" ht="15" customHeight="1" x14ac:dyDescent="0.25">
      <c r="B18" s="10" t="s">
        <v>8</v>
      </c>
      <c r="C18" s="36">
        <v>34.578138984691783</v>
      </c>
      <c r="D18" s="36">
        <v>22.817959663160824</v>
      </c>
      <c r="E18" s="36">
        <v>27.398512102704082</v>
      </c>
      <c r="F18" s="36">
        <v>25.801867001167416</v>
      </c>
      <c r="G18" s="36">
        <v>27.322643632759224</v>
      </c>
      <c r="H18" s="36">
        <v>32.098079897984782</v>
      </c>
      <c r="I18" s="36">
        <v>28.498464000000002</v>
      </c>
      <c r="J18" s="11"/>
      <c r="K18" s="38">
        <v>1191.47</v>
      </c>
      <c r="L18" s="38">
        <v>806.47500000000002</v>
      </c>
      <c r="M18" s="38">
        <v>989.10299999999995</v>
      </c>
      <c r="N18" s="38">
        <v>949.48599999999999</v>
      </c>
      <c r="O18" s="38">
        <v>1026.5150000000001</v>
      </c>
      <c r="P18" s="38">
        <v>1228.355</v>
      </c>
      <c r="Q18" s="38">
        <v>1109.193</v>
      </c>
      <c r="R18" s="11"/>
    </row>
    <row r="19" spans="2:18" ht="15" customHeight="1" x14ac:dyDescent="0.25">
      <c r="B19" s="10" t="s">
        <v>9</v>
      </c>
      <c r="C19" s="36">
        <v>7.3196638624245889</v>
      </c>
      <c r="D19" s="36">
        <v>12.954410481930815</v>
      </c>
      <c r="E19" s="36">
        <v>10.717464330935128</v>
      </c>
      <c r="F19" s="36">
        <v>11.970367769664056</v>
      </c>
      <c r="G19" s="36">
        <v>11.122029953590779</v>
      </c>
      <c r="H19" s="36">
        <v>10.24113638264069</v>
      </c>
      <c r="I19" s="36">
        <v>10.737555</v>
      </c>
      <c r="J19" s="11"/>
      <c r="K19" s="38">
        <v>252.21600000000001</v>
      </c>
      <c r="L19" s="38">
        <v>457.85899999999998</v>
      </c>
      <c r="M19" s="38">
        <v>386.90699999999998</v>
      </c>
      <c r="N19" s="38">
        <v>440.49900000000002</v>
      </c>
      <c r="O19" s="38">
        <v>417.85599999999999</v>
      </c>
      <c r="P19" s="38">
        <v>391.916</v>
      </c>
      <c r="Q19" s="38">
        <v>417.91800000000001</v>
      </c>
      <c r="R19" s="11"/>
    </row>
    <row r="20" spans="2:18" ht="15" customHeight="1" x14ac:dyDescent="0.25">
      <c r="B20" s="10" t="s">
        <v>10</v>
      </c>
      <c r="C20" s="36">
        <v>26.030898514452083</v>
      </c>
      <c r="D20" s="36">
        <v>25.421041894959441</v>
      </c>
      <c r="E20" s="36">
        <v>26.629522326631044</v>
      </c>
      <c r="F20" s="36">
        <v>27.837105887314696</v>
      </c>
      <c r="G20" s="36">
        <v>30.946933360872947</v>
      </c>
      <c r="H20" s="36">
        <v>31.380053725227864</v>
      </c>
      <c r="I20" s="36">
        <v>35.264373999999997</v>
      </c>
      <c r="J20" s="11"/>
      <c r="K20" s="38">
        <v>896.95500000000004</v>
      </c>
      <c r="L20" s="38">
        <v>898.47799999999995</v>
      </c>
      <c r="M20" s="38">
        <v>961.34199999999998</v>
      </c>
      <c r="N20" s="38">
        <v>1024.3810000000001</v>
      </c>
      <c r="O20" s="38">
        <v>1162.68</v>
      </c>
      <c r="P20" s="38">
        <v>1200.877</v>
      </c>
      <c r="Q20" s="38">
        <v>1372.53</v>
      </c>
      <c r="R20" s="11"/>
    </row>
    <row r="21" spans="2:18" x14ac:dyDescent="0.25">
      <c r="B21" s="12" t="s">
        <v>11</v>
      </c>
      <c r="C21" s="36"/>
      <c r="D21" s="36"/>
      <c r="E21" s="36"/>
      <c r="F21" s="36"/>
      <c r="G21" s="36"/>
      <c r="H21" s="36"/>
      <c r="I21" s="36"/>
      <c r="J21" s="11"/>
      <c r="K21" s="38"/>
      <c r="L21" s="38"/>
      <c r="M21" s="38"/>
      <c r="N21" s="38"/>
      <c r="O21" s="38"/>
      <c r="P21" s="38"/>
      <c r="Q21" s="38"/>
      <c r="R21" s="11"/>
    </row>
    <row r="22" spans="2:18" x14ac:dyDescent="0.25">
      <c r="B22" s="13" t="s">
        <v>12</v>
      </c>
      <c r="C22" s="36">
        <v>66.649437623123333</v>
      </c>
      <c r="D22" s="36">
        <v>61.624547623109748</v>
      </c>
      <c r="E22" s="36">
        <v>62.65301334243383</v>
      </c>
      <c r="F22" s="36">
        <v>60.19252634302125</v>
      </c>
      <c r="G22" s="36">
        <v>57.931036685536277</v>
      </c>
      <c r="H22" s="36">
        <v>58.378809892131443</v>
      </c>
      <c r="I22" s="36">
        <v>53.998069999999998</v>
      </c>
      <c r="J22" s="11"/>
      <c r="K22" s="38">
        <v>2296.5610000000001</v>
      </c>
      <c r="L22" s="38">
        <v>2178.0500000000002</v>
      </c>
      <c r="M22" s="38">
        <v>2261.8119999999999</v>
      </c>
      <c r="N22" s="38">
        <v>2215.0320000000002</v>
      </c>
      <c r="O22" s="38">
        <v>2176.4760000000001</v>
      </c>
      <c r="P22" s="38">
        <v>2234.087</v>
      </c>
      <c r="Q22" s="38">
        <v>2101.6669999999999</v>
      </c>
      <c r="R22" s="11"/>
    </row>
    <row r="23" spans="2:18" x14ac:dyDescent="0.25">
      <c r="B23" s="13" t="s">
        <v>13</v>
      </c>
      <c r="C23" s="36">
        <v>20.264953861762898</v>
      </c>
      <c r="D23" s="36">
        <v>13.425751056689606</v>
      </c>
      <c r="E23" s="36">
        <v>10.317360288371859</v>
      </c>
      <c r="F23" s="36">
        <v>11.584597675161797</v>
      </c>
      <c r="G23" s="36">
        <v>9.3803799402290977</v>
      </c>
      <c r="H23" s="36">
        <v>9.0748860690693203</v>
      </c>
      <c r="I23" s="36">
        <v>9.3819683999999999</v>
      </c>
      <c r="J23" s="11"/>
      <c r="K23" s="38">
        <v>698.27599999999995</v>
      </c>
      <c r="L23" s="38">
        <v>474.51799999999997</v>
      </c>
      <c r="M23" s="38">
        <v>372.46300000000002</v>
      </c>
      <c r="N23" s="38">
        <v>426.303</v>
      </c>
      <c r="O23" s="38">
        <v>352.42200000000003</v>
      </c>
      <c r="P23" s="38">
        <v>347.28500000000003</v>
      </c>
      <c r="Q23" s="38">
        <v>365.15699999999998</v>
      </c>
      <c r="R23" s="11"/>
    </row>
    <row r="24" spans="2:18" x14ac:dyDescent="0.25">
      <c r="B24" s="14" t="s">
        <v>14</v>
      </c>
      <c r="C24" s="36"/>
      <c r="D24" s="36"/>
      <c r="E24" s="36"/>
      <c r="F24" s="36"/>
      <c r="G24" s="36"/>
      <c r="H24" s="36"/>
      <c r="I24" s="36"/>
      <c r="J24" s="11"/>
      <c r="K24" s="38"/>
      <c r="L24" s="38"/>
      <c r="M24" s="38"/>
      <c r="N24" s="38"/>
      <c r="O24" s="38"/>
      <c r="P24" s="38"/>
      <c r="Q24" s="38"/>
      <c r="R24" s="11"/>
    </row>
    <row r="25" spans="2:18" x14ac:dyDescent="0.25">
      <c r="B25" s="15" t="s">
        <v>15</v>
      </c>
      <c r="C25" s="36">
        <v>18.604203693148509</v>
      </c>
      <c r="D25" s="36">
        <v>17.47904233463964</v>
      </c>
      <c r="E25" s="36">
        <v>16.06537950466765</v>
      </c>
      <c r="F25" s="36">
        <v>17.25935294104859</v>
      </c>
      <c r="G25" s="36">
        <v>15.747008526989001</v>
      </c>
      <c r="H25" s="36">
        <v>15.12924366585835</v>
      </c>
      <c r="I25" s="36">
        <v>13.332262999999999</v>
      </c>
      <c r="J25" s="11"/>
      <c r="K25" s="38">
        <v>641.05100000000004</v>
      </c>
      <c r="L25" s="38">
        <v>617.77700000000004</v>
      </c>
      <c r="M25" s="38">
        <v>579.97</v>
      </c>
      <c r="N25" s="38">
        <v>635.12900000000002</v>
      </c>
      <c r="O25" s="38">
        <v>591.61699999999996</v>
      </c>
      <c r="P25" s="38">
        <v>578.97799999999995</v>
      </c>
      <c r="Q25" s="38">
        <v>518.90700000000004</v>
      </c>
      <c r="R25" s="11"/>
    </row>
    <row r="26" spans="2:18" x14ac:dyDescent="0.25">
      <c r="B26" s="13" t="s">
        <v>16</v>
      </c>
      <c r="C26" s="36">
        <v>29.626419001826026</v>
      </c>
      <c r="D26" s="36">
        <v>18.524994574731064</v>
      </c>
      <c r="E26" s="36">
        <v>13.5641475310251</v>
      </c>
      <c r="F26" s="36">
        <v>14.570728865255472</v>
      </c>
      <c r="G26" s="36">
        <v>12.236745583990682</v>
      </c>
      <c r="H26" s="36">
        <v>11.305763441759344</v>
      </c>
      <c r="I26" s="36">
        <v>17.054455000000001</v>
      </c>
      <c r="J26" s="11"/>
      <c r="K26" s="38">
        <v>1020.847</v>
      </c>
      <c r="L26" s="38">
        <v>654.745</v>
      </c>
      <c r="M26" s="38">
        <v>489.67399999999998</v>
      </c>
      <c r="N26" s="38">
        <v>536.19000000000005</v>
      </c>
      <c r="O26" s="38">
        <v>459.73599999999999</v>
      </c>
      <c r="P26" s="38">
        <v>432.65800000000002</v>
      </c>
      <c r="Q26" s="38">
        <v>663.779</v>
      </c>
      <c r="R26" s="11"/>
    </row>
    <row r="27" spans="2:18" x14ac:dyDescent="0.25">
      <c r="B27" s="13" t="s">
        <v>17</v>
      </c>
      <c r="C27" s="36">
        <v>55.870160534829751</v>
      </c>
      <c r="D27" s="36">
        <v>48.406583659344605</v>
      </c>
      <c r="E27" s="36">
        <v>48.417630616213962</v>
      </c>
      <c r="F27" s="36">
        <v>43.364406540156395</v>
      </c>
      <c r="G27" s="36">
        <v>40.541206682331598</v>
      </c>
      <c r="H27" s="36">
        <v>42.095362279454804</v>
      </c>
      <c r="I27" s="36">
        <v>40.710025000000002</v>
      </c>
      <c r="J27" s="11"/>
      <c r="K27" s="38">
        <v>1925.136</v>
      </c>
      <c r="L27" s="38">
        <v>1710.876</v>
      </c>
      <c r="M27" s="38">
        <v>1747.9059999999999</v>
      </c>
      <c r="N27" s="38">
        <v>1595.7719999999999</v>
      </c>
      <c r="O27" s="38">
        <v>1523.1379999999999</v>
      </c>
      <c r="P27" s="38">
        <v>1610.9390000000001</v>
      </c>
      <c r="Q27" s="38">
        <v>1584.481</v>
      </c>
      <c r="R27" s="11"/>
    </row>
    <row r="28" spans="2:18" x14ac:dyDescent="0.25">
      <c r="B28" s="13" t="s">
        <v>18</v>
      </c>
      <c r="C28" s="36">
        <v>11.33161255721571</v>
      </c>
      <c r="D28" s="36">
        <v>6.4366182876974136</v>
      </c>
      <c r="E28" s="36">
        <v>5.2774731507306942</v>
      </c>
      <c r="F28" s="36">
        <v>7.9222003134857566</v>
      </c>
      <c r="G28" s="36">
        <v>7.1215103917687772</v>
      </c>
      <c r="H28" s="36">
        <v>6.9783478969813535</v>
      </c>
      <c r="I28" s="36">
        <v>6.0155468000000001</v>
      </c>
      <c r="J28" s="11"/>
      <c r="K28" s="38">
        <v>390.45699999999999</v>
      </c>
      <c r="L28" s="38">
        <v>227.495</v>
      </c>
      <c r="M28" s="38">
        <v>190.52</v>
      </c>
      <c r="N28" s="38">
        <v>291.52999999999997</v>
      </c>
      <c r="O28" s="38">
        <v>267.55599999999998</v>
      </c>
      <c r="P28" s="38">
        <v>267.053</v>
      </c>
      <c r="Q28" s="38">
        <v>234.13200000000001</v>
      </c>
      <c r="R28" s="11"/>
    </row>
    <row r="29" spans="2:18" x14ac:dyDescent="0.25">
      <c r="B29" s="13" t="s">
        <v>19</v>
      </c>
      <c r="C29" s="36">
        <v>12.317527886672556</v>
      </c>
      <c r="D29" s="36">
        <v>7.0143705259214677</v>
      </c>
      <c r="E29" s="36">
        <v>5.2260889774438715</v>
      </c>
      <c r="F29" s="36">
        <v>7.9398637793512457</v>
      </c>
      <c r="G29" s="36">
        <v>5.3502623893668693</v>
      </c>
      <c r="H29" s="36">
        <v>5.0189449368676309</v>
      </c>
      <c r="I29" s="36">
        <v>4.8586437</v>
      </c>
      <c r="J29" s="11"/>
      <c r="K29" s="38">
        <v>424.42899999999997</v>
      </c>
      <c r="L29" s="38">
        <v>247.91499999999999</v>
      </c>
      <c r="M29" s="38">
        <v>188.66499999999999</v>
      </c>
      <c r="N29" s="38">
        <v>292.18</v>
      </c>
      <c r="O29" s="38">
        <v>201.01</v>
      </c>
      <c r="P29" s="38">
        <v>192.06899999999999</v>
      </c>
      <c r="Q29" s="38">
        <v>189.10400000000001</v>
      </c>
      <c r="R29" s="11"/>
    </row>
    <row r="30" spans="2:18" x14ac:dyDescent="0.25">
      <c r="B30" s="13" t="s">
        <v>20</v>
      </c>
      <c r="C30" s="36">
        <v>17.361042588338268</v>
      </c>
      <c r="D30" s="36">
        <v>17.68159513941173</v>
      </c>
      <c r="E30" s="36">
        <v>18.390631072438943</v>
      </c>
      <c r="F30" s="36">
        <v>18.69525684309842</v>
      </c>
      <c r="G30" s="36">
        <v>18.186686654181567</v>
      </c>
      <c r="H30" s="36">
        <v>17.70045049753324</v>
      </c>
      <c r="I30" s="36">
        <v>12.981425</v>
      </c>
      <c r="J30" s="11"/>
      <c r="K30" s="38">
        <v>598.21500000000003</v>
      </c>
      <c r="L30" s="38">
        <v>624.93600000000004</v>
      </c>
      <c r="M30" s="38">
        <v>663.91300000000001</v>
      </c>
      <c r="N30" s="38">
        <v>687.96900000000005</v>
      </c>
      <c r="O30" s="38">
        <v>683.27599999999995</v>
      </c>
      <c r="P30" s="38">
        <v>677.375</v>
      </c>
      <c r="Q30" s="38">
        <v>505.25200000000001</v>
      </c>
      <c r="R30" s="11"/>
    </row>
    <row r="31" spans="2:18" x14ac:dyDescent="0.25">
      <c r="B31" s="7" t="s">
        <v>21</v>
      </c>
      <c r="C31" s="36"/>
      <c r="D31" s="36"/>
      <c r="E31" s="36"/>
      <c r="F31" s="36"/>
      <c r="G31" s="36"/>
      <c r="H31" s="36"/>
      <c r="I31" s="36"/>
      <c r="J31" s="11"/>
      <c r="K31" s="38"/>
      <c r="L31" s="38"/>
      <c r="M31" s="38"/>
      <c r="N31" s="38"/>
      <c r="O31" s="38"/>
      <c r="P31" s="38"/>
      <c r="Q31" s="38"/>
      <c r="R31" s="11"/>
    </row>
    <row r="32" spans="2:18" ht="15" customHeight="1" x14ac:dyDescent="0.25">
      <c r="B32" s="15" t="s">
        <v>22</v>
      </c>
      <c r="C32" s="36">
        <v>11.527100772782097</v>
      </c>
      <c r="D32" s="36">
        <v>16.557298337731549</v>
      </c>
      <c r="E32" s="36">
        <v>15.944024214549282</v>
      </c>
      <c r="F32" s="36">
        <v>17.854774788092758</v>
      </c>
      <c r="G32" s="36">
        <v>11.168369970604299</v>
      </c>
      <c r="H32" s="36">
        <v>9.7379327284890049</v>
      </c>
      <c r="I32" s="36">
        <v>10.590026</v>
      </c>
      <c r="J32" s="11"/>
      <c r="K32" s="38">
        <v>397.19299999999998</v>
      </c>
      <c r="L32" s="38">
        <v>585.19899999999996</v>
      </c>
      <c r="M32" s="38">
        <v>575.58900000000006</v>
      </c>
      <c r="N32" s="38">
        <v>657.04</v>
      </c>
      <c r="O32" s="38">
        <v>419.59699999999998</v>
      </c>
      <c r="P32" s="38">
        <v>372.65899999999999</v>
      </c>
      <c r="Q32" s="38">
        <v>412.17599999999999</v>
      </c>
      <c r="R32" s="11"/>
    </row>
    <row r="33" spans="1:18" ht="15" customHeight="1" thickBot="1" x14ac:dyDescent="0.3">
      <c r="A33" s="17"/>
      <c r="B33" s="35" t="s">
        <v>23</v>
      </c>
      <c r="C33" s="37">
        <v>39.390962500856133</v>
      </c>
      <c r="D33" s="37">
        <v>51.760998441879735</v>
      </c>
      <c r="E33" s="37">
        <v>45.971965570664878</v>
      </c>
      <c r="F33" s="37">
        <v>46.361027111517885</v>
      </c>
      <c r="G33" s="37">
        <v>41.730423006367829</v>
      </c>
      <c r="H33" s="37">
        <v>36.521866376787401</v>
      </c>
      <c r="I33" s="37">
        <v>36.237161999999998</v>
      </c>
      <c r="J33" s="18"/>
      <c r="K33" s="39">
        <v>1357.307</v>
      </c>
      <c r="L33" s="39">
        <v>1829.434</v>
      </c>
      <c r="M33" s="39">
        <v>1659.616</v>
      </c>
      <c r="N33" s="39">
        <v>1706.0450000000001</v>
      </c>
      <c r="O33" s="39">
        <v>1567.817</v>
      </c>
      <c r="P33" s="39">
        <v>1397.6479999999999</v>
      </c>
      <c r="Q33" s="39">
        <v>1410.3920000000001</v>
      </c>
      <c r="R33" s="18"/>
    </row>
    <row r="34" spans="1:18" ht="15.75" thickTop="1" x14ac:dyDescent="0.25">
      <c r="B34" s="19" t="s">
        <v>36</v>
      </c>
      <c r="I34" s="36"/>
      <c r="N34" s="36"/>
    </row>
    <row r="35" spans="1:18" x14ac:dyDescent="0.25">
      <c r="B35" s="19" t="s">
        <v>35</v>
      </c>
      <c r="I35" s="36"/>
      <c r="N35" s="36"/>
    </row>
    <row r="36" spans="1:18" x14ac:dyDescent="0.25">
      <c r="B36" s="34"/>
      <c r="C36" s="34"/>
      <c r="D36" s="32"/>
      <c r="E36" s="32"/>
      <c r="I36" s="36"/>
      <c r="N36" s="36"/>
    </row>
    <row r="37" spans="1:18" x14ac:dyDescent="0.25">
      <c r="B37" s="34"/>
      <c r="C37" s="33"/>
      <c r="D37" s="32"/>
      <c r="E37" s="32"/>
      <c r="I37" s="36"/>
      <c r="N37" s="42"/>
    </row>
    <row r="38" spans="1:18" x14ac:dyDescent="0.25">
      <c r="B38" s="81"/>
      <c r="C38" s="81"/>
      <c r="D38" s="81"/>
      <c r="E38" s="81"/>
      <c r="I38" s="36"/>
      <c r="N38" s="43"/>
    </row>
    <row r="39" spans="1:18" x14ac:dyDescent="0.25">
      <c r="B39" s="81"/>
      <c r="C39" s="81"/>
      <c r="D39" s="81"/>
      <c r="E39" s="81"/>
      <c r="I39" s="36"/>
    </row>
    <row r="40" spans="1:18" x14ac:dyDescent="0.25">
      <c r="I40" s="36"/>
    </row>
    <row r="41" spans="1:18" x14ac:dyDescent="0.25">
      <c r="I41" s="36"/>
    </row>
    <row r="42" spans="1:18" x14ac:dyDescent="0.25">
      <c r="I42" s="36"/>
    </row>
    <row r="43" spans="1:18" x14ac:dyDescent="0.25">
      <c r="I43" s="36"/>
    </row>
    <row r="44" spans="1:18" x14ac:dyDescent="0.25">
      <c r="I44" s="36"/>
    </row>
    <row r="45" spans="1:18" x14ac:dyDescent="0.25">
      <c r="I45" s="36"/>
    </row>
    <row r="46" spans="1:18" x14ac:dyDescent="0.25">
      <c r="I46" s="36"/>
    </row>
    <row r="47" spans="1:18" x14ac:dyDescent="0.25">
      <c r="I47" s="36"/>
    </row>
    <row r="48" spans="1:18" x14ac:dyDescent="0.25">
      <c r="I48" s="36"/>
    </row>
    <row r="49" spans="9:9" x14ac:dyDescent="0.25">
      <c r="I49" s="36"/>
    </row>
    <row r="50" spans="9:9" x14ac:dyDescent="0.25">
      <c r="I50" s="36"/>
    </row>
    <row r="51" spans="9:9" ht="15.75" thickBot="1" x14ac:dyDescent="0.3">
      <c r="I51" s="37"/>
    </row>
    <row r="52" spans="9:9" ht="15.75" thickTop="1" x14ac:dyDescent="0.25"/>
  </sheetData>
  <mergeCells count="9">
    <mergeCell ref="B4:R4"/>
    <mergeCell ref="B9:R9"/>
    <mergeCell ref="B10:R10"/>
    <mergeCell ref="B38:E38"/>
    <mergeCell ref="B39:E39"/>
    <mergeCell ref="C12:I12"/>
    <mergeCell ref="K12:Q12"/>
    <mergeCell ref="B11:B13"/>
    <mergeCell ref="C11:R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820EF-28F4-4044-9B09-D836575EDE78}">
  <dimension ref="A4:R39"/>
  <sheetViews>
    <sheetView zoomScaleNormal="100" workbookViewId="0">
      <selection activeCell="N2" sqref="N2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9.7109375" style="2" bestFit="1" customWidth="1"/>
    <col min="17" max="17" width="8.4257812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customHeight="1" x14ac:dyDescent="0.25">
      <c r="A9" s="1"/>
      <c r="B9" s="70" t="s">
        <v>48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15.75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36">
        <v>27.613291887458232</v>
      </c>
      <c r="D15" s="36">
        <v>28.544146219903627</v>
      </c>
      <c r="E15" s="36">
        <v>28.905748402945967</v>
      </c>
      <c r="F15" s="36">
        <v>28.372344246593233</v>
      </c>
      <c r="G15" s="36">
        <v>27.595406629792297</v>
      </c>
      <c r="H15" s="36">
        <v>30.550435783251139</v>
      </c>
      <c r="I15" s="11">
        <v>34.189500000000002</v>
      </c>
      <c r="J15" s="11"/>
      <c r="K15" s="38">
        <v>2465.6559999999999</v>
      </c>
      <c r="L15" s="38">
        <v>2537.1550000000002</v>
      </c>
      <c r="M15" s="38">
        <v>2565.3209999999999</v>
      </c>
      <c r="N15" s="38">
        <v>2502.4679999999998</v>
      </c>
      <c r="O15" s="38">
        <v>2434.424</v>
      </c>
      <c r="P15" s="38">
        <v>2682.73</v>
      </c>
      <c r="Q15" s="11">
        <v>2981.7730000000001</v>
      </c>
      <c r="R15" s="11"/>
    </row>
    <row r="16" spans="1:18" ht="15" customHeight="1" x14ac:dyDescent="0.25">
      <c r="B16" s="10" t="s">
        <v>6</v>
      </c>
      <c r="C16" s="36">
        <v>25.495977483403955</v>
      </c>
      <c r="D16" s="36">
        <v>26.379817585135001</v>
      </c>
      <c r="E16" s="36">
        <v>26.437799345516023</v>
      </c>
      <c r="F16" s="36">
        <v>26.665662142452874</v>
      </c>
      <c r="G16" s="36">
        <v>25.836953607777058</v>
      </c>
      <c r="H16" s="36">
        <v>28.804319170875885</v>
      </c>
      <c r="I16" s="11">
        <v>29.462699999999998</v>
      </c>
      <c r="J16" s="11"/>
      <c r="K16" s="38">
        <v>2276.596</v>
      </c>
      <c r="L16" s="38">
        <v>2344.7779999999998</v>
      </c>
      <c r="M16" s="38">
        <v>2346.2959999999998</v>
      </c>
      <c r="N16" s="38">
        <v>2351.9369999999999</v>
      </c>
      <c r="O16" s="38">
        <v>2279.2959999999998</v>
      </c>
      <c r="P16" s="38">
        <v>2529.3980000000001</v>
      </c>
      <c r="Q16" s="11">
        <v>2569.5329999999999</v>
      </c>
      <c r="R16" s="11"/>
    </row>
    <row r="17" spans="2:18" ht="15" customHeight="1" x14ac:dyDescent="0.25">
      <c r="B17" s="10" t="s">
        <v>7</v>
      </c>
      <c r="C17" s="36">
        <v>2.1173144040542802</v>
      </c>
      <c r="D17" s="36">
        <v>2.1643286347686286</v>
      </c>
      <c r="E17" s="36">
        <v>2.4679490574299434</v>
      </c>
      <c r="F17" s="36">
        <v>1.706682104140363</v>
      </c>
      <c r="G17" s="36">
        <v>1.7584530220152359</v>
      </c>
      <c r="H17" s="36">
        <v>1.7461166123752536</v>
      </c>
      <c r="I17" s="11">
        <v>4.7268100000000004</v>
      </c>
      <c r="J17" s="11"/>
      <c r="K17" s="38">
        <v>189.06</v>
      </c>
      <c r="L17" s="38">
        <v>192.37700000000001</v>
      </c>
      <c r="M17" s="38">
        <v>219.02500000000001</v>
      </c>
      <c r="N17" s="38">
        <v>150.53100000000001</v>
      </c>
      <c r="O17" s="38">
        <v>155.12799999999999</v>
      </c>
      <c r="P17" s="38">
        <v>153.33199999999999</v>
      </c>
      <c r="Q17" s="11">
        <v>412.24</v>
      </c>
      <c r="R17" s="11"/>
    </row>
    <row r="18" spans="2:18" ht="15" customHeight="1" x14ac:dyDescent="0.25">
      <c r="B18" s="10" t="s">
        <v>8</v>
      </c>
      <c r="C18" s="36">
        <v>36.056791420900957</v>
      </c>
      <c r="D18" s="36">
        <v>34.378811794526207</v>
      </c>
      <c r="E18" s="36">
        <v>32.362578534358832</v>
      </c>
      <c r="F18" s="36">
        <v>27.952711625814501</v>
      </c>
      <c r="G18" s="36">
        <v>28.88979572867127</v>
      </c>
      <c r="H18" s="36">
        <v>28.364635592732977</v>
      </c>
      <c r="I18" s="11">
        <v>24.182200000000002</v>
      </c>
      <c r="J18" s="11"/>
      <c r="K18" s="38">
        <v>3219.596</v>
      </c>
      <c r="L18" s="38">
        <v>3055.7710000000002</v>
      </c>
      <c r="M18" s="38">
        <v>2872.107</v>
      </c>
      <c r="N18" s="38">
        <v>2465.4560000000001</v>
      </c>
      <c r="O18" s="38">
        <v>2548.6129999999998</v>
      </c>
      <c r="P18" s="38">
        <v>2490.788</v>
      </c>
      <c r="Q18" s="11">
        <v>2109.0070000000001</v>
      </c>
      <c r="R18" s="11"/>
    </row>
    <row r="19" spans="2:18" ht="15" customHeight="1" x14ac:dyDescent="0.25">
      <c r="B19" s="10" t="s">
        <v>9</v>
      </c>
      <c r="C19" s="36">
        <v>5.0353020124006127</v>
      </c>
      <c r="D19" s="36">
        <v>5.4170262124333268</v>
      </c>
      <c r="E19" s="36">
        <v>6.5928973096566468</v>
      </c>
      <c r="F19" s="36">
        <v>8.0062393878706075</v>
      </c>
      <c r="G19" s="36">
        <v>6.7930914678278747</v>
      </c>
      <c r="H19" s="36">
        <v>7.763074209272756</v>
      </c>
      <c r="I19" s="11">
        <v>9.6317000000000004</v>
      </c>
      <c r="J19" s="11"/>
      <c r="K19" s="38">
        <v>449.61399999999998</v>
      </c>
      <c r="L19" s="38">
        <v>481.49400000000003</v>
      </c>
      <c r="M19" s="38">
        <v>585.10500000000002</v>
      </c>
      <c r="N19" s="38">
        <v>706.15800000000002</v>
      </c>
      <c r="O19" s="38">
        <v>599.27599999999995</v>
      </c>
      <c r="P19" s="38">
        <v>681.7</v>
      </c>
      <c r="Q19" s="11">
        <v>840.01199999999994</v>
      </c>
      <c r="R19" s="11"/>
    </row>
    <row r="20" spans="2:18" ht="15" customHeight="1" x14ac:dyDescent="0.25">
      <c r="B20" s="10" t="s">
        <v>10</v>
      </c>
      <c r="C20" s="36">
        <v>31.294614679240198</v>
      </c>
      <c r="D20" s="36">
        <v>31.660015773136841</v>
      </c>
      <c r="E20" s="36">
        <v>32.138775753038558</v>
      </c>
      <c r="F20" s="36">
        <v>35.668704739721655</v>
      </c>
      <c r="G20" s="36">
        <v>36.721706173708561</v>
      </c>
      <c r="H20" s="36">
        <v>33.321854414743122</v>
      </c>
      <c r="I20" s="11">
        <v>31.996599999999997</v>
      </c>
      <c r="J20" s="11"/>
      <c r="K20" s="38">
        <v>2794.37</v>
      </c>
      <c r="L20" s="38">
        <v>2814.11</v>
      </c>
      <c r="M20" s="38">
        <v>2852.2449999999999</v>
      </c>
      <c r="N20" s="38">
        <v>3146.0140000000001</v>
      </c>
      <c r="O20" s="38">
        <v>3239.5320000000002</v>
      </c>
      <c r="P20" s="38">
        <v>2926.0970000000002</v>
      </c>
      <c r="Q20" s="11">
        <v>2790.53</v>
      </c>
      <c r="R20" s="11"/>
    </row>
    <row r="21" spans="2:18" x14ac:dyDescent="0.25">
      <c r="B21" s="12" t="s">
        <v>11</v>
      </c>
      <c r="C21" s="36"/>
      <c r="D21" s="36"/>
      <c r="E21" s="36"/>
      <c r="F21" s="36"/>
      <c r="G21" s="36"/>
      <c r="H21" s="36"/>
      <c r="J21" s="11"/>
      <c r="K21" s="38"/>
      <c r="L21" s="38"/>
      <c r="M21" s="38"/>
      <c r="N21" s="38"/>
      <c r="O21" s="38"/>
      <c r="P21" s="38"/>
      <c r="R21" s="11"/>
    </row>
    <row r="22" spans="2:18" x14ac:dyDescent="0.25">
      <c r="B22" s="13" t="s">
        <v>12</v>
      </c>
      <c r="C22" s="36">
        <v>63.670083308359196</v>
      </c>
      <c r="D22" s="36">
        <v>62.922958014429831</v>
      </c>
      <c r="E22" s="36">
        <v>61.268326937304792</v>
      </c>
      <c r="F22" s="36">
        <v>56.325055872407738</v>
      </c>
      <c r="G22" s="36">
        <v>56.48520235846356</v>
      </c>
      <c r="H22" s="36">
        <v>58.91507137598412</v>
      </c>
      <c r="I22" s="11">
        <v>58.371700000000004</v>
      </c>
      <c r="J22" s="11"/>
      <c r="K22" s="38">
        <v>5685.2520000000004</v>
      </c>
      <c r="L22" s="38">
        <v>5592.9260000000004</v>
      </c>
      <c r="M22" s="38">
        <v>5437.4279999999999</v>
      </c>
      <c r="N22" s="38">
        <v>4967.924</v>
      </c>
      <c r="O22" s="38">
        <v>4983.0370000000003</v>
      </c>
      <c r="P22" s="38">
        <v>5173.518</v>
      </c>
      <c r="Q22" s="11">
        <v>5090.78</v>
      </c>
      <c r="R22" s="11"/>
    </row>
    <row r="23" spans="2:18" x14ac:dyDescent="0.25">
      <c r="B23" s="13" t="s">
        <v>13</v>
      </c>
      <c r="C23" s="36">
        <v>14.64454517721337</v>
      </c>
      <c r="D23" s="36">
        <v>13.443100265173205</v>
      </c>
      <c r="E23" s="36">
        <v>9.1747985132698542</v>
      </c>
      <c r="F23" s="36">
        <v>6.7722278759777668</v>
      </c>
      <c r="G23" s="36">
        <v>6.8498256317130943</v>
      </c>
      <c r="H23" s="36">
        <v>7.4008050047174034</v>
      </c>
      <c r="I23" s="11">
        <v>10.7203</v>
      </c>
      <c r="J23" s="11"/>
      <c r="K23" s="38">
        <v>1307.646</v>
      </c>
      <c r="L23" s="38">
        <v>1194.894</v>
      </c>
      <c r="M23" s="38">
        <v>814.24300000000005</v>
      </c>
      <c r="N23" s="38">
        <v>597.31700000000001</v>
      </c>
      <c r="O23" s="38">
        <v>604.28099999999995</v>
      </c>
      <c r="P23" s="38">
        <v>649.88800000000003</v>
      </c>
      <c r="Q23" s="11">
        <v>934.95399999999995</v>
      </c>
      <c r="R23" s="11"/>
    </row>
    <row r="24" spans="2:18" x14ac:dyDescent="0.25">
      <c r="B24" s="14" t="s">
        <v>14</v>
      </c>
      <c r="C24" s="36"/>
      <c r="D24" s="36"/>
      <c r="E24" s="36"/>
      <c r="F24" s="36"/>
      <c r="G24" s="36"/>
      <c r="H24" s="36"/>
      <c r="J24" s="11"/>
      <c r="K24" s="38"/>
      <c r="L24" s="38"/>
      <c r="M24" s="38"/>
      <c r="N24" s="38"/>
      <c r="O24" s="38"/>
      <c r="P24" s="38"/>
      <c r="R24" s="11"/>
    </row>
    <row r="25" spans="2:18" x14ac:dyDescent="0.25">
      <c r="B25" s="15" t="s">
        <v>15</v>
      </c>
      <c r="C25" s="36">
        <v>10.62059508786642</v>
      </c>
      <c r="D25" s="36">
        <v>9.5339386827743162</v>
      </c>
      <c r="E25" s="36">
        <v>9.1704491086988327</v>
      </c>
      <c r="F25" s="36">
        <v>8.8377155985603775</v>
      </c>
      <c r="G25" s="36">
        <v>8.436602547426304</v>
      </c>
      <c r="H25" s="36">
        <v>8.1186929292480681</v>
      </c>
      <c r="I25" s="11">
        <v>7.8841099999999997</v>
      </c>
      <c r="J25" s="11"/>
      <c r="K25" s="38">
        <v>948.33799999999997</v>
      </c>
      <c r="L25" s="38">
        <v>847.42700000000002</v>
      </c>
      <c r="M25" s="38">
        <v>813.85699999999997</v>
      </c>
      <c r="N25" s="38">
        <v>779.495</v>
      </c>
      <c r="O25" s="38">
        <v>744.26400000000001</v>
      </c>
      <c r="P25" s="38">
        <v>712.928</v>
      </c>
      <c r="Q25" s="11">
        <v>687.59900000000005</v>
      </c>
      <c r="R25" s="11"/>
    </row>
    <row r="26" spans="2:18" x14ac:dyDescent="0.25">
      <c r="B26" s="13" t="s">
        <v>16</v>
      </c>
      <c r="C26" s="36">
        <v>36.344453209658703</v>
      </c>
      <c r="D26" s="36">
        <v>32.462049405244734</v>
      </c>
      <c r="E26" s="36">
        <v>23.356280010609844</v>
      </c>
      <c r="F26" s="36">
        <v>19.944408768339937</v>
      </c>
      <c r="G26" s="36">
        <v>19.634634251678644</v>
      </c>
      <c r="H26" s="36">
        <v>20.057736227432908</v>
      </c>
      <c r="I26" s="11">
        <v>26.741</v>
      </c>
      <c r="J26" s="11"/>
      <c r="K26" s="38">
        <v>3245.2820000000002</v>
      </c>
      <c r="L26" s="38">
        <v>2885.3989999999999</v>
      </c>
      <c r="M26" s="38">
        <v>2072.8180000000002</v>
      </c>
      <c r="N26" s="38">
        <v>1759.116</v>
      </c>
      <c r="O26" s="38">
        <v>1732.1369999999999</v>
      </c>
      <c r="P26" s="38">
        <v>1761.3330000000001</v>
      </c>
      <c r="Q26" s="11">
        <v>2332.1709999999998</v>
      </c>
      <c r="R26" s="11"/>
    </row>
    <row r="27" spans="2:18" x14ac:dyDescent="0.25">
      <c r="B27" s="13" t="s">
        <v>17</v>
      </c>
      <c r="C27" s="36">
        <v>52.922747254076384</v>
      </c>
      <c r="D27" s="36">
        <v>52.389000205883306</v>
      </c>
      <c r="E27" s="36">
        <v>52.510631815240906</v>
      </c>
      <c r="F27" s="36">
        <v>46.278430529554328</v>
      </c>
      <c r="G27" s="36">
        <v>47.044864197908716</v>
      </c>
      <c r="H27" s="36">
        <v>48.347451378295844</v>
      </c>
      <c r="I27" s="11">
        <v>47.038200000000003</v>
      </c>
      <c r="J27" s="11"/>
      <c r="K27" s="38">
        <v>4725.5969999999998</v>
      </c>
      <c r="L27" s="38">
        <v>4656.6120000000001</v>
      </c>
      <c r="M27" s="38">
        <v>4660.2020000000002</v>
      </c>
      <c r="N27" s="38">
        <v>4081.8020000000001</v>
      </c>
      <c r="O27" s="38">
        <v>4150.2250000000004</v>
      </c>
      <c r="P27" s="38">
        <v>4245.5420000000004</v>
      </c>
      <c r="Q27" s="11">
        <v>4102.3490000000002</v>
      </c>
      <c r="R27" s="11"/>
    </row>
    <row r="28" spans="2:18" x14ac:dyDescent="0.25">
      <c r="B28" s="13" t="s">
        <v>18</v>
      </c>
      <c r="C28" s="36">
        <v>6.3182449203940854</v>
      </c>
      <c r="D28" s="36">
        <v>7.5632078645175298</v>
      </c>
      <c r="E28" s="36">
        <v>6.4264818793213756</v>
      </c>
      <c r="F28" s="36">
        <v>5.4444305368104837</v>
      </c>
      <c r="G28" s="36">
        <v>5.9075624203327086</v>
      </c>
      <c r="H28" s="36">
        <v>5.0773488936451994</v>
      </c>
      <c r="I28" s="11">
        <v>5.0604399999999998</v>
      </c>
      <c r="J28" s="11"/>
      <c r="K28" s="38">
        <v>564.17100000000005</v>
      </c>
      <c r="L28" s="38">
        <v>672.25800000000004</v>
      </c>
      <c r="M28" s="38">
        <v>570.33600000000001</v>
      </c>
      <c r="N28" s="38">
        <v>480.20400000000001</v>
      </c>
      <c r="O28" s="38">
        <v>521.15599999999995</v>
      </c>
      <c r="P28" s="38">
        <v>445.858</v>
      </c>
      <c r="Q28" s="11">
        <v>441.33699999999999</v>
      </c>
      <c r="R28" s="11"/>
    </row>
    <row r="29" spans="2:18" x14ac:dyDescent="0.25">
      <c r="B29" s="13" t="s">
        <v>19</v>
      </c>
      <c r="C29" s="36">
        <v>4.0946392278129951</v>
      </c>
      <c r="D29" s="36">
        <v>3.9236971692732094</v>
      </c>
      <c r="E29" s="36">
        <v>3.045518434376612</v>
      </c>
      <c r="F29" s="36">
        <v>1.6522382522820611</v>
      </c>
      <c r="G29" s="36">
        <v>2.0935756635941805</v>
      </c>
      <c r="H29" s="36">
        <v>2.9183442343202586</v>
      </c>
      <c r="I29" s="11">
        <v>3.0566499999999999</v>
      </c>
      <c r="J29" s="11"/>
      <c r="K29" s="38">
        <v>365.62</v>
      </c>
      <c r="L29" s="38">
        <v>348.75900000000001</v>
      </c>
      <c r="M29" s="38">
        <v>270.28300000000002</v>
      </c>
      <c r="N29" s="38">
        <v>145.72900000000001</v>
      </c>
      <c r="O29" s="38">
        <v>184.69200000000001</v>
      </c>
      <c r="P29" s="38">
        <v>256.26900000000001</v>
      </c>
      <c r="Q29" s="11">
        <v>266.58</v>
      </c>
      <c r="R29" s="11"/>
    </row>
    <row r="30" spans="2:18" x14ac:dyDescent="0.25">
      <c r="B30" s="13" t="s">
        <v>20</v>
      </c>
      <c r="C30" s="36">
        <v>15.572351318746644</v>
      </c>
      <c r="D30" s="36">
        <v>15.539858671793874</v>
      </c>
      <c r="E30" s="36">
        <v>13.042760055519134</v>
      </c>
      <c r="F30" s="36">
        <v>11.694906722103706</v>
      </c>
      <c r="G30" s="36">
        <v>11.496654044590446</v>
      </c>
      <c r="H30" s="36">
        <v>13.870564943860913</v>
      </c>
      <c r="I30" s="11">
        <v>15.930300000000001</v>
      </c>
      <c r="J30" s="11"/>
      <c r="K30" s="38">
        <v>1390.492</v>
      </c>
      <c r="L30" s="38">
        <v>1381.2650000000001</v>
      </c>
      <c r="M30" s="38">
        <v>1157.5160000000001</v>
      </c>
      <c r="N30" s="38">
        <v>1031.502</v>
      </c>
      <c r="O30" s="38">
        <v>1014.217</v>
      </c>
      <c r="P30" s="38">
        <v>1218.018</v>
      </c>
      <c r="Q30" s="11">
        <v>1389.337</v>
      </c>
      <c r="R30" s="11"/>
    </row>
    <row r="31" spans="2:18" x14ac:dyDescent="0.25">
      <c r="B31" s="7" t="s">
        <v>21</v>
      </c>
      <c r="C31" s="36"/>
      <c r="D31" s="36"/>
      <c r="E31" s="36"/>
      <c r="F31" s="36"/>
      <c r="G31" s="36"/>
      <c r="H31" s="36"/>
      <c r="J31" s="11"/>
      <c r="K31" s="38"/>
      <c r="L31" s="38"/>
      <c r="M31" s="38"/>
      <c r="N31" s="38"/>
      <c r="O31" s="38"/>
      <c r="P31" s="38"/>
      <c r="R31" s="11"/>
    </row>
    <row r="32" spans="2:18" ht="15" customHeight="1" x14ac:dyDescent="0.25">
      <c r="B32" s="15" t="s">
        <v>22</v>
      </c>
      <c r="C32" s="36">
        <v>5.2832067603544131</v>
      </c>
      <c r="D32" s="36">
        <v>5.9870304763554829</v>
      </c>
      <c r="E32" s="36">
        <v>6.8729944568754284</v>
      </c>
      <c r="F32" s="36">
        <v>8.2007724178965837</v>
      </c>
      <c r="G32" s="36">
        <v>7.5411322688167832</v>
      </c>
      <c r="H32" s="36">
        <v>7.8299206895550384</v>
      </c>
      <c r="I32" s="11">
        <v>15.226600000000001</v>
      </c>
      <c r="J32" s="11"/>
      <c r="K32" s="38">
        <v>471.75</v>
      </c>
      <c r="L32" s="38">
        <v>532.15899999999999</v>
      </c>
      <c r="M32" s="38">
        <v>609.96299999999997</v>
      </c>
      <c r="N32" s="38">
        <v>723.31600000000003</v>
      </c>
      <c r="O32" s="38">
        <v>665.26700000000005</v>
      </c>
      <c r="P32" s="38">
        <v>687.57</v>
      </c>
      <c r="Q32" s="11">
        <v>1327.96</v>
      </c>
      <c r="R32" s="11"/>
    </row>
    <row r="33" spans="1:18" ht="15" customHeight="1" thickBot="1" x14ac:dyDescent="0.3">
      <c r="A33" s="17"/>
      <c r="B33" s="35" t="s">
        <v>23</v>
      </c>
      <c r="C33" s="37">
        <v>32.648593899858845</v>
      </c>
      <c r="D33" s="37">
        <v>33.961172432336959</v>
      </c>
      <c r="E33" s="37">
        <v>35.49864571260261</v>
      </c>
      <c r="F33" s="37">
        <v>36.378583634463837</v>
      </c>
      <c r="G33" s="37">
        <v>34.388498097620172</v>
      </c>
      <c r="H33" s="37">
        <v>38.313509992523898</v>
      </c>
      <c r="I33" s="18">
        <v>43.821199999999997</v>
      </c>
      <c r="J33" s="18"/>
      <c r="K33" s="39">
        <v>2915.27</v>
      </c>
      <c r="L33" s="39">
        <v>3018.6489999999999</v>
      </c>
      <c r="M33" s="39">
        <v>3150.4259999999999</v>
      </c>
      <c r="N33" s="39">
        <v>3208.6260000000002</v>
      </c>
      <c r="O33" s="39">
        <v>3033.7</v>
      </c>
      <c r="P33" s="39">
        <v>3364.43</v>
      </c>
      <c r="Q33" s="18">
        <v>3821.7849999999999</v>
      </c>
      <c r="R33" s="18"/>
    </row>
    <row r="34" spans="1:18" ht="15.75" thickTop="1" x14ac:dyDescent="0.25">
      <c r="B34" s="19" t="s">
        <v>47</v>
      </c>
    </row>
    <row r="35" spans="1:18" x14ac:dyDescent="0.25">
      <c r="B35" s="19" t="s">
        <v>35</v>
      </c>
    </row>
    <row r="36" spans="1:18" x14ac:dyDescent="0.25">
      <c r="B36" s="27"/>
      <c r="C36" s="27"/>
      <c r="D36" s="29"/>
      <c r="E36" s="29"/>
    </row>
    <row r="37" spans="1:18" x14ac:dyDescent="0.25">
      <c r="B37" s="27"/>
      <c r="C37" s="28"/>
      <c r="D37" s="29"/>
      <c r="E37" s="29"/>
    </row>
    <row r="38" spans="1:18" x14ac:dyDescent="0.25">
      <c r="B38" s="80"/>
      <c r="C38" s="80"/>
      <c r="D38" s="80"/>
      <c r="E38" s="80"/>
    </row>
    <row r="39" spans="1:18" x14ac:dyDescent="0.25">
      <c r="B39" s="80"/>
      <c r="C39" s="80"/>
      <c r="D39" s="80"/>
      <c r="E39" s="80"/>
    </row>
  </sheetData>
  <mergeCells count="9">
    <mergeCell ref="B4:R4"/>
    <mergeCell ref="B9:R9"/>
    <mergeCell ref="B10:R10"/>
    <mergeCell ref="B38:E38"/>
    <mergeCell ref="B39:E39"/>
    <mergeCell ref="C12:I12"/>
    <mergeCell ref="K12:Q12"/>
    <mergeCell ref="B11:B13"/>
    <mergeCell ref="C11:R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93A15-CC39-4DF6-895B-45C0022C7F1F}">
  <dimension ref="A4:R39"/>
  <sheetViews>
    <sheetView zoomScaleNormal="100" workbookViewId="0">
      <selection activeCell="B36" sqref="B36:E39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9.7109375" style="2" bestFit="1" customWidth="1"/>
    <col min="17" max="17" width="8.4257812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customHeight="1" x14ac:dyDescent="0.25">
      <c r="A9" s="1"/>
      <c r="B9" s="70" t="s">
        <v>49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36">
        <v>48.437835670852067</v>
      </c>
      <c r="D15" s="36">
        <v>51.574162159710383</v>
      </c>
      <c r="E15" s="36">
        <v>50.056664358118738</v>
      </c>
      <c r="F15" s="36">
        <v>43.464438529237455</v>
      </c>
      <c r="G15" s="36">
        <v>35.988916314031059</v>
      </c>
      <c r="H15" s="36">
        <v>37.349758889242835</v>
      </c>
      <c r="I15" s="11">
        <v>37.592399999999998</v>
      </c>
      <c r="J15" s="11"/>
      <c r="K15" s="38">
        <v>791.404</v>
      </c>
      <c r="L15" s="38">
        <v>864.15499999999997</v>
      </c>
      <c r="M15" s="38">
        <v>858.654</v>
      </c>
      <c r="N15" s="38">
        <v>761.24400000000003</v>
      </c>
      <c r="O15" s="38">
        <v>643.29899999999998</v>
      </c>
      <c r="P15" s="38">
        <v>680.04200000000003</v>
      </c>
      <c r="Q15" s="11">
        <v>696.31</v>
      </c>
      <c r="R15" s="11"/>
    </row>
    <row r="16" spans="1:18" ht="15" customHeight="1" x14ac:dyDescent="0.25">
      <c r="B16" s="10" t="s">
        <v>6</v>
      </c>
      <c r="C16" s="36">
        <v>36.983269629189863</v>
      </c>
      <c r="D16" s="36">
        <v>41.099741101173457</v>
      </c>
      <c r="E16" s="36">
        <v>42.593117262575177</v>
      </c>
      <c r="F16" s="36">
        <v>38.154512515002132</v>
      </c>
      <c r="G16" s="36">
        <v>33.216036771073661</v>
      </c>
      <c r="H16" s="36">
        <v>35.130221777958411</v>
      </c>
      <c r="I16" s="11">
        <v>33.220300000000002</v>
      </c>
      <c r="J16" s="11"/>
      <c r="K16" s="38">
        <v>604.25300000000004</v>
      </c>
      <c r="L16" s="38">
        <v>688.65</v>
      </c>
      <c r="M16" s="38">
        <v>730.62699999999995</v>
      </c>
      <c r="N16" s="38">
        <v>668.245</v>
      </c>
      <c r="O16" s="38">
        <v>593.73400000000004</v>
      </c>
      <c r="P16" s="38">
        <v>639.63</v>
      </c>
      <c r="Q16" s="11">
        <v>615.32799999999997</v>
      </c>
      <c r="R16" s="11"/>
    </row>
    <row r="17" spans="2:18" ht="15" customHeight="1" x14ac:dyDescent="0.25">
      <c r="B17" s="10" t="s">
        <v>7</v>
      </c>
      <c r="C17" s="36">
        <v>11.454566041662204</v>
      </c>
      <c r="D17" s="36">
        <v>10.474421058536917</v>
      </c>
      <c r="E17" s="36">
        <v>7.4635470955435697</v>
      </c>
      <c r="F17" s="36">
        <v>5.3099260142353222</v>
      </c>
      <c r="G17" s="36">
        <v>2.7728795429573951</v>
      </c>
      <c r="H17" s="36">
        <v>2.2195371112844229</v>
      </c>
      <c r="I17" s="11">
        <v>4.3720599999999994</v>
      </c>
      <c r="J17" s="11"/>
      <c r="K17" s="38">
        <v>187.15100000000001</v>
      </c>
      <c r="L17" s="38">
        <v>175.505</v>
      </c>
      <c r="M17" s="38">
        <v>128.02699999999999</v>
      </c>
      <c r="N17" s="38">
        <v>92.998999999999995</v>
      </c>
      <c r="O17" s="38">
        <v>49.564999999999998</v>
      </c>
      <c r="P17" s="38">
        <v>40.411999999999999</v>
      </c>
      <c r="Q17" s="11">
        <v>80.981999999999999</v>
      </c>
      <c r="R17" s="11"/>
    </row>
    <row r="18" spans="2:18" ht="15" customHeight="1" x14ac:dyDescent="0.25">
      <c r="B18" s="10" t="s">
        <v>8</v>
      </c>
      <c r="C18" s="36">
        <v>24.57849686783711</v>
      </c>
      <c r="D18" s="36">
        <v>21.050241173388208</v>
      </c>
      <c r="E18" s="36">
        <v>21.776252737028408</v>
      </c>
      <c r="F18" s="36">
        <v>24.290831771741527</v>
      </c>
      <c r="G18" s="36">
        <v>29.885280605451658</v>
      </c>
      <c r="H18" s="36">
        <v>27.068939002823029</v>
      </c>
      <c r="I18" s="11">
        <v>28.1295</v>
      </c>
      <c r="J18" s="11"/>
      <c r="K18" s="38">
        <v>401.577</v>
      </c>
      <c r="L18" s="38">
        <v>352.709</v>
      </c>
      <c r="M18" s="38">
        <v>373.54199999999997</v>
      </c>
      <c r="N18" s="38">
        <v>425.43400000000003</v>
      </c>
      <c r="O18" s="38">
        <v>534.197</v>
      </c>
      <c r="P18" s="38">
        <v>492.85500000000002</v>
      </c>
      <c r="Q18" s="11">
        <v>521.03200000000004</v>
      </c>
      <c r="R18" s="11"/>
    </row>
    <row r="19" spans="2:18" ht="15" customHeight="1" x14ac:dyDescent="0.25">
      <c r="B19" s="10" t="s">
        <v>9</v>
      </c>
      <c r="C19" s="36">
        <v>8.2157841424116587</v>
      </c>
      <c r="D19" s="36">
        <v>8.7570230335207739</v>
      </c>
      <c r="E19" s="36">
        <v>11.128541813865747</v>
      </c>
      <c r="F19" s="36">
        <v>10.484590200626007</v>
      </c>
      <c r="G19" s="36">
        <v>9.3933846976657804</v>
      </c>
      <c r="H19" s="36">
        <v>10.264947219262497</v>
      </c>
      <c r="I19" s="11">
        <v>10.251799999999999</v>
      </c>
      <c r="J19" s="11"/>
      <c r="K19" s="38">
        <v>134.23400000000001</v>
      </c>
      <c r="L19" s="38">
        <v>146.72900000000001</v>
      </c>
      <c r="M19" s="38">
        <v>190.89500000000001</v>
      </c>
      <c r="N19" s="38">
        <v>183.62899999999999</v>
      </c>
      <c r="O19" s="38">
        <v>167.90600000000001</v>
      </c>
      <c r="P19" s="38">
        <v>186.898</v>
      </c>
      <c r="Q19" s="11">
        <v>189.89099999999999</v>
      </c>
      <c r="R19" s="11"/>
    </row>
    <row r="20" spans="2:18" ht="15" customHeight="1" x14ac:dyDescent="0.25">
      <c r="B20" s="10" t="s">
        <v>10</v>
      </c>
      <c r="C20" s="36">
        <v>18.767883318899166</v>
      </c>
      <c r="D20" s="36">
        <v>18.618573633380642</v>
      </c>
      <c r="E20" s="36">
        <v>17.038541090987103</v>
      </c>
      <c r="F20" s="36">
        <v>21.760139498395013</v>
      </c>
      <c r="G20" s="36">
        <v>24.732418382851503</v>
      </c>
      <c r="H20" s="36">
        <v>25.31635488867164</v>
      </c>
      <c r="I20" s="11">
        <v>24.026299999999999</v>
      </c>
      <c r="J20" s="11"/>
      <c r="K20" s="38">
        <v>306.64</v>
      </c>
      <c r="L20" s="38">
        <v>311.96499999999997</v>
      </c>
      <c r="M20" s="38">
        <v>292.27300000000002</v>
      </c>
      <c r="N20" s="38">
        <v>381.11099999999999</v>
      </c>
      <c r="O20" s="38">
        <v>442.09</v>
      </c>
      <c r="P20" s="38">
        <v>460.94499999999999</v>
      </c>
      <c r="Q20" s="11">
        <v>445.03</v>
      </c>
      <c r="R20" s="11"/>
    </row>
    <row r="21" spans="2:18" x14ac:dyDescent="0.25">
      <c r="B21" s="12" t="s">
        <v>11</v>
      </c>
      <c r="C21" s="36"/>
      <c r="D21" s="36"/>
      <c r="E21" s="36"/>
      <c r="F21" s="36"/>
      <c r="G21" s="36"/>
      <c r="H21" s="36"/>
      <c r="J21" s="11"/>
      <c r="K21" s="38"/>
      <c r="L21" s="38"/>
      <c r="M21" s="38"/>
      <c r="N21" s="38"/>
      <c r="O21" s="38"/>
      <c r="P21" s="38"/>
      <c r="R21" s="11"/>
    </row>
    <row r="22" spans="2:18" x14ac:dyDescent="0.25">
      <c r="B22" s="13" t="s">
        <v>12</v>
      </c>
      <c r="C22" s="36">
        <v>73.01633253868917</v>
      </c>
      <c r="D22" s="36">
        <v>72.624403333098584</v>
      </c>
      <c r="E22" s="36">
        <v>71.832917095147153</v>
      </c>
      <c r="F22" s="36">
        <v>67.755270300978978</v>
      </c>
      <c r="G22" s="36">
        <v>65.874196919482713</v>
      </c>
      <c r="H22" s="36">
        <v>64.418697892065865</v>
      </c>
      <c r="I22" s="11">
        <v>65.721900000000005</v>
      </c>
      <c r="J22" s="11"/>
      <c r="K22" s="38">
        <v>1192.981</v>
      </c>
      <c r="L22" s="38">
        <v>1216.864</v>
      </c>
      <c r="M22" s="38">
        <v>1232.1959999999999</v>
      </c>
      <c r="N22" s="38">
        <v>1186.6780000000001</v>
      </c>
      <c r="O22" s="38">
        <v>1177.4960000000001</v>
      </c>
      <c r="P22" s="38">
        <v>1172.8969999999999</v>
      </c>
      <c r="Q22" s="11">
        <v>1217.3420000000001</v>
      </c>
      <c r="R22" s="11"/>
    </row>
    <row r="23" spans="2:18" x14ac:dyDescent="0.25">
      <c r="B23" s="13" t="s">
        <v>13</v>
      </c>
      <c r="C23" s="36">
        <v>27.457699734676577</v>
      </c>
      <c r="D23" s="36">
        <v>23.690316897415666</v>
      </c>
      <c r="E23" s="36">
        <v>17.136654377729741</v>
      </c>
      <c r="F23" s="36">
        <v>13.222828588035524</v>
      </c>
      <c r="G23" s="36">
        <v>10.34566867991577</v>
      </c>
      <c r="H23" s="36">
        <v>8.5374627898546738</v>
      </c>
      <c r="I23" s="11">
        <v>12.315099999999999</v>
      </c>
      <c r="J23" s="11"/>
      <c r="K23" s="38">
        <v>448.61900000000003</v>
      </c>
      <c r="L23" s="38">
        <v>396.94499999999999</v>
      </c>
      <c r="M23" s="38">
        <v>293.95600000000002</v>
      </c>
      <c r="N23" s="38">
        <v>231.58699999999999</v>
      </c>
      <c r="O23" s="38">
        <v>184.928</v>
      </c>
      <c r="P23" s="38">
        <v>155.44499999999999</v>
      </c>
      <c r="Q23" s="11">
        <v>228.108</v>
      </c>
      <c r="R23" s="11"/>
    </row>
    <row r="24" spans="2:18" x14ac:dyDescent="0.25">
      <c r="B24" s="14" t="s">
        <v>14</v>
      </c>
      <c r="C24" s="36"/>
      <c r="D24" s="36"/>
      <c r="E24" s="36"/>
      <c r="F24" s="36"/>
      <c r="G24" s="36"/>
      <c r="H24" s="36"/>
      <c r="J24" s="11"/>
      <c r="K24" s="38"/>
      <c r="L24" s="38"/>
      <c r="M24" s="38"/>
      <c r="N24" s="38"/>
      <c r="O24" s="38"/>
      <c r="P24" s="38"/>
      <c r="R24" s="11"/>
    </row>
    <row r="25" spans="2:18" x14ac:dyDescent="0.25">
      <c r="B25" s="15" t="s">
        <v>15</v>
      </c>
      <c r="C25" s="36">
        <v>21.634845197401237</v>
      </c>
      <c r="D25" s="36">
        <v>19.005250788095669</v>
      </c>
      <c r="E25" s="36">
        <v>16.144678330663346</v>
      </c>
      <c r="F25" s="36">
        <v>15.501953274432489</v>
      </c>
      <c r="G25" s="36">
        <v>14.42736526932708</v>
      </c>
      <c r="H25" s="36">
        <v>13.558003888528841</v>
      </c>
      <c r="I25" s="11">
        <v>13.497600000000002</v>
      </c>
      <c r="J25" s="11"/>
      <c r="K25" s="38">
        <v>353.48200000000003</v>
      </c>
      <c r="L25" s="38">
        <v>318.44400000000002</v>
      </c>
      <c r="M25" s="38">
        <v>276.94</v>
      </c>
      <c r="N25" s="38">
        <v>271.50400000000002</v>
      </c>
      <c r="O25" s="38">
        <v>257.88799999999998</v>
      </c>
      <c r="P25" s="38">
        <v>246.85599999999999</v>
      </c>
      <c r="Q25" s="11">
        <v>250.011</v>
      </c>
      <c r="R25" s="11"/>
    </row>
    <row r="26" spans="2:18" x14ac:dyDescent="0.25">
      <c r="B26" s="13" t="s">
        <v>16</v>
      </c>
      <c r="C26" s="36">
        <v>37.239901949683421</v>
      </c>
      <c r="D26" s="36">
        <v>27.472221194372263</v>
      </c>
      <c r="E26" s="36">
        <v>17.818142388437671</v>
      </c>
      <c r="F26" s="36">
        <v>16.542652867562168</v>
      </c>
      <c r="G26" s="36">
        <v>14.092594540283256</v>
      </c>
      <c r="H26" s="36">
        <v>13.062765688676034</v>
      </c>
      <c r="I26" s="11">
        <v>22.895399999999999</v>
      </c>
      <c r="J26" s="11"/>
      <c r="K26" s="38">
        <v>608.44600000000003</v>
      </c>
      <c r="L26" s="38">
        <v>460.31299999999999</v>
      </c>
      <c r="M26" s="38">
        <v>305.64600000000002</v>
      </c>
      <c r="N26" s="38">
        <v>289.73099999999999</v>
      </c>
      <c r="O26" s="38">
        <v>251.904</v>
      </c>
      <c r="P26" s="38">
        <v>237.839</v>
      </c>
      <c r="Q26" s="11">
        <v>424.08300000000003</v>
      </c>
      <c r="R26" s="11"/>
    </row>
    <row r="27" spans="2:18" x14ac:dyDescent="0.25">
      <c r="B27" s="13" t="s">
        <v>17</v>
      </c>
      <c r="C27" s="36">
        <v>58.95700658871197</v>
      </c>
      <c r="D27" s="36">
        <v>58.667381254483587</v>
      </c>
      <c r="E27" s="36">
        <v>57.93009530338751</v>
      </c>
      <c r="F27" s="36">
        <v>51.255953747192272</v>
      </c>
      <c r="G27" s="36">
        <v>49.040499202234194</v>
      </c>
      <c r="H27" s="36">
        <v>48.097916231861774</v>
      </c>
      <c r="I27" s="11">
        <v>50.883599999999994</v>
      </c>
      <c r="J27" s="11"/>
      <c r="K27" s="38">
        <v>963.27200000000005</v>
      </c>
      <c r="L27" s="38">
        <v>983.00599999999997</v>
      </c>
      <c r="M27" s="38">
        <v>993.71199999999999</v>
      </c>
      <c r="N27" s="38">
        <v>897.70600000000002</v>
      </c>
      <c r="O27" s="38">
        <v>876.59500000000003</v>
      </c>
      <c r="P27" s="38">
        <v>875.73800000000006</v>
      </c>
      <c r="Q27" s="11">
        <v>942.49800000000005</v>
      </c>
      <c r="R27" s="11"/>
    </row>
    <row r="28" spans="2:18" x14ac:dyDescent="0.25">
      <c r="B28" s="13" t="s">
        <v>18</v>
      </c>
      <c r="C28" s="36">
        <v>11.767874138157914</v>
      </c>
      <c r="D28" s="36">
        <v>11.343922442553465</v>
      </c>
      <c r="E28" s="36">
        <v>9.3721216021788951</v>
      </c>
      <c r="F28" s="36">
        <v>5.7633871525815081</v>
      </c>
      <c r="G28" s="36">
        <v>7.0170383979340887</v>
      </c>
      <c r="H28" s="36">
        <v>4.7780572734163034</v>
      </c>
      <c r="I28" s="11">
        <v>5.8208299999999999</v>
      </c>
      <c r="J28" s="11"/>
      <c r="K28" s="38">
        <v>192.27</v>
      </c>
      <c r="L28" s="38">
        <v>190.07400000000001</v>
      </c>
      <c r="M28" s="38">
        <v>160.76599999999999</v>
      </c>
      <c r="N28" s="38">
        <v>100.941</v>
      </c>
      <c r="O28" s="38">
        <v>125.429</v>
      </c>
      <c r="P28" s="38">
        <v>86.995999999999995</v>
      </c>
      <c r="Q28" s="11">
        <v>107.81699999999999</v>
      </c>
      <c r="R28" s="11"/>
    </row>
    <row r="29" spans="2:18" x14ac:dyDescent="0.25">
      <c r="B29" s="13" t="s">
        <v>19</v>
      </c>
      <c r="C29" s="36">
        <v>17.600337851278113</v>
      </c>
      <c r="D29" s="36">
        <v>18.517472985118989</v>
      </c>
      <c r="E29" s="36">
        <v>13.041896647009033</v>
      </c>
      <c r="F29" s="36">
        <v>12.981138711603968</v>
      </c>
      <c r="G29" s="36">
        <v>8.0909453021328215</v>
      </c>
      <c r="H29" s="36">
        <v>5.655942089480102</v>
      </c>
      <c r="I29" s="11">
        <v>5.9187099999999999</v>
      </c>
      <c r="J29" s="11"/>
      <c r="K29" s="38">
        <v>287.56400000000002</v>
      </c>
      <c r="L29" s="38">
        <v>310.27100000000002</v>
      </c>
      <c r="M29" s="38">
        <v>223.71600000000001</v>
      </c>
      <c r="N29" s="38">
        <v>227.35400000000001</v>
      </c>
      <c r="O29" s="38">
        <v>144.625</v>
      </c>
      <c r="P29" s="38">
        <v>102.98</v>
      </c>
      <c r="Q29" s="11">
        <v>109.63</v>
      </c>
      <c r="R29" s="11"/>
    </row>
    <row r="30" spans="2:18" x14ac:dyDescent="0.25">
      <c r="B30" s="13" t="s">
        <v>20</v>
      </c>
      <c r="C30" s="36">
        <v>22.013520171618655</v>
      </c>
      <c r="D30" s="36">
        <v>20.263160093533021</v>
      </c>
      <c r="E30" s="36">
        <v>21.417261875613573</v>
      </c>
      <c r="F30" s="36">
        <v>19.94115625167721</v>
      </c>
      <c r="G30" s="36">
        <v>18.587327943285899</v>
      </c>
      <c r="H30" s="36">
        <v>18.766765161417883</v>
      </c>
      <c r="I30" s="11">
        <v>18.700400000000002</v>
      </c>
      <c r="J30" s="11"/>
      <c r="K30" s="38">
        <v>359.66899999999998</v>
      </c>
      <c r="L30" s="38">
        <v>339.52100000000002</v>
      </c>
      <c r="M30" s="38">
        <v>367.38400000000001</v>
      </c>
      <c r="N30" s="38">
        <v>349.25299999999999</v>
      </c>
      <c r="O30" s="38">
        <v>332.24700000000001</v>
      </c>
      <c r="P30" s="38">
        <v>341.69400000000002</v>
      </c>
      <c r="Q30" s="11">
        <v>346.38099999999997</v>
      </c>
      <c r="R30" s="11"/>
    </row>
    <row r="31" spans="2:18" x14ac:dyDescent="0.25">
      <c r="B31" s="7" t="s">
        <v>21</v>
      </c>
      <c r="C31" s="36"/>
      <c r="D31" s="36"/>
      <c r="E31" s="36"/>
      <c r="F31" s="36"/>
      <c r="G31" s="36"/>
      <c r="H31" s="36"/>
      <c r="J31" s="11"/>
      <c r="K31" s="38"/>
      <c r="L31" s="38"/>
      <c r="M31" s="38"/>
      <c r="N31" s="38"/>
      <c r="O31" s="38"/>
      <c r="P31" s="38"/>
      <c r="R31" s="11"/>
    </row>
    <row r="32" spans="2:18" ht="15" customHeight="1" x14ac:dyDescent="0.25">
      <c r="B32" s="15" t="s">
        <v>22</v>
      </c>
      <c r="C32" s="36">
        <v>20.021544139473821</v>
      </c>
      <c r="D32" s="36">
        <v>23.358964595674994</v>
      </c>
      <c r="E32" s="36">
        <v>24.980878693968162</v>
      </c>
      <c r="F32" s="36">
        <v>20.747531428819389</v>
      </c>
      <c r="G32" s="36">
        <v>12.799945398357027</v>
      </c>
      <c r="H32" s="36">
        <v>14.390412689346091</v>
      </c>
      <c r="I32" s="11">
        <v>15.502699999999999</v>
      </c>
      <c r="J32" s="11"/>
      <c r="K32" s="38">
        <v>327.12299999999999</v>
      </c>
      <c r="L32" s="38">
        <v>391.39299999999997</v>
      </c>
      <c r="M32" s="38">
        <v>428.51299999999998</v>
      </c>
      <c r="N32" s="38">
        <v>363.37599999999998</v>
      </c>
      <c r="O32" s="38">
        <v>228.798</v>
      </c>
      <c r="P32" s="38">
        <v>262.012</v>
      </c>
      <c r="Q32" s="11">
        <v>287.14999999999998</v>
      </c>
      <c r="R32" s="11"/>
    </row>
    <row r="33" spans="1:18" ht="15" customHeight="1" thickBot="1" x14ac:dyDescent="0.3">
      <c r="A33" s="17"/>
      <c r="B33" s="35" t="s">
        <v>23</v>
      </c>
      <c r="C33" s="37">
        <v>56.653619813263724</v>
      </c>
      <c r="D33" s="37">
        <v>60.33118519323115</v>
      </c>
      <c r="E33" s="37">
        <v>61.185206171984483</v>
      </c>
      <c r="F33" s="37">
        <v>53.949028729863457</v>
      </c>
      <c r="G33" s="37">
        <v>45.382301011696832</v>
      </c>
      <c r="H33" s="37">
        <v>47.614706108505331</v>
      </c>
      <c r="I33" s="18">
        <v>47.844200000000001</v>
      </c>
      <c r="J33" s="18"/>
      <c r="K33" s="39">
        <v>925.63800000000003</v>
      </c>
      <c r="L33" s="39">
        <v>1010.884</v>
      </c>
      <c r="M33" s="39">
        <v>1049.549</v>
      </c>
      <c r="N33" s="39">
        <v>944.87300000000005</v>
      </c>
      <c r="O33" s="39">
        <v>811.20500000000004</v>
      </c>
      <c r="P33" s="39">
        <v>866.94</v>
      </c>
      <c r="Q33" s="18">
        <v>886.20100000000002</v>
      </c>
      <c r="R33" s="18"/>
    </row>
    <row r="34" spans="1:18" ht="15.75" thickTop="1" x14ac:dyDescent="0.25">
      <c r="B34" s="19" t="s">
        <v>47</v>
      </c>
    </row>
    <row r="35" spans="1:18" x14ac:dyDescent="0.25">
      <c r="B35" s="19" t="s">
        <v>35</v>
      </c>
    </row>
    <row r="36" spans="1:18" x14ac:dyDescent="0.25">
      <c r="B36" s="27"/>
      <c r="C36" s="27"/>
      <c r="D36" s="29"/>
      <c r="E36" s="29"/>
    </row>
    <row r="37" spans="1:18" x14ac:dyDescent="0.25">
      <c r="B37" s="27"/>
      <c r="C37" s="28"/>
      <c r="D37" s="29"/>
      <c r="E37" s="29"/>
    </row>
    <row r="38" spans="1:18" x14ac:dyDescent="0.25">
      <c r="B38" s="80"/>
      <c r="C38" s="80"/>
      <c r="D38" s="80"/>
      <c r="E38" s="80"/>
    </row>
    <row r="39" spans="1:18" x14ac:dyDescent="0.25">
      <c r="B39" s="80"/>
      <c r="C39" s="80"/>
      <c r="D39" s="80"/>
      <c r="E39" s="80"/>
    </row>
  </sheetData>
  <mergeCells count="9">
    <mergeCell ref="B4:R4"/>
    <mergeCell ref="B9:R9"/>
    <mergeCell ref="B10:R10"/>
    <mergeCell ref="B38:E38"/>
    <mergeCell ref="B39:E39"/>
    <mergeCell ref="C12:I12"/>
    <mergeCell ref="K12:Q12"/>
    <mergeCell ref="B11:B13"/>
    <mergeCell ref="C11:R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5E03B-4717-4D30-9233-6DFB76BEF5BD}">
  <dimension ref="A4:R39"/>
  <sheetViews>
    <sheetView zoomScaleNormal="100" workbookViewId="0">
      <selection activeCell="K37" sqref="K37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9.7109375" style="2" bestFit="1" customWidth="1"/>
    <col min="17" max="17" width="8.4257812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customHeight="1" x14ac:dyDescent="0.25">
      <c r="A9" s="1"/>
      <c r="B9" s="70" t="s">
        <v>50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36">
        <v>44.058458288033989</v>
      </c>
      <c r="D15" s="36">
        <v>48.512294213513577</v>
      </c>
      <c r="E15" s="36">
        <v>44.46664388627196</v>
      </c>
      <c r="F15" s="36">
        <v>46.554997309011839</v>
      </c>
      <c r="G15" s="36">
        <v>42.359893077516084</v>
      </c>
      <c r="H15" s="36">
        <v>43.383853861412163</v>
      </c>
      <c r="I15" s="11">
        <v>44.452199999999998</v>
      </c>
      <c r="J15" s="11"/>
      <c r="K15" s="38">
        <v>2403.5549999999998</v>
      </c>
      <c r="L15" s="38">
        <v>2703.7420000000002</v>
      </c>
      <c r="M15" s="38">
        <v>2525.8490000000002</v>
      </c>
      <c r="N15" s="38">
        <v>2683.2820000000002</v>
      </c>
      <c r="O15" s="38">
        <v>2489.7150000000001</v>
      </c>
      <c r="P15" s="38">
        <v>2587.8330000000001</v>
      </c>
      <c r="Q15" s="11">
        <v>2687.2049999999999</v>
      </c>
      <c r="R15" s="11"/>
    </row>
    <row r="16" spans="1:18" ht="15" customHeight="1" x14ac:dyDescent="0.25">
      <c r="B16" s="10" t="s">
        <v>6</v>
      </c>
      <c r="C16" s="36">
        <v>36.161900451609483</v>
      </c>
      <c r="D16" s="36">
        <v>40.088292188147342</v>
      </c>
      <c r="E16" s="36">
        <v>37.568250960376723</v>
      </c>
      <c r="F16" s="36">
        <v>41.04468289541304</v>
      </c>
      <c r="G16" s="36">
        <v>37.977439158530736</v>
      </c>
      <c r="H16" s="36">
        <v>39.13806411031878</v>
      </c>
      <c r="I16" s="11">
        <v>38.948100000000004</v>
      </c>
      <c r="J16" s="11"/>
      <c r="K16" s="38">
        <v>1972.768</v>
      </c>
      <c r="L16" s="38">
        <v>2234.2460000000001</v>
      </c>
      <c r="M16" s="38">
        <v>2133.998</v>
      </c>
      <c r="N16" s="38">
        <v>2365.6849999999999</v>
      </c>
      <c r="O16" s="38">
        <v>2232.1350000000002</v>
      </c>
      <c r="P16" s="38">
        <v>2334.5729999999999</v>
      </c>
      <c r="Q16" s="11">
        <v>2354.4699999999998</v>
      </c>
      <c r="R16" s="11"/>
    </row>
    <row r="17" spans="2:18" ht="15" customHeight="1" x14ac:dyDescent="0.25">
      <c r="B17" s="10" t="s">
        <v>7</v>
      </c>
      <c r="C17" s="36">
        <v>7.8965578364245035</v>
      </c>
      <c r="D17" s="36">
        <v>8.4240020253662404</v>
      </c>
      <c r="E17" s="36">
        <v>6.8983929258952346</v>
      </c>
      <c r="F17" s="36">
        <v>5.5103144135988078</v>
      </c>
      <c r="G17" s="36">
        <v>4.382453918985342</v>
      </c>
      <c r="H17" s="36">
        <v>4.2457897510933842</v>
      </c>
      <c r="I17" s="11">
        <v>5.5041600000000006</v>
      </c>
      <c r="J17" s="11"/>
      <c r="K17" s="38">
        <v>430.78699999999998</v>
      </c>
      <c r="L17" s="38">
        <v>469.49599999999998</v>
      </c>
      <c r="M17" s="38">
        <v>391.851</v>
      </c>
      <c r="N17" s="38">
        <v>317.59699999999998</v>
      </c>
      <c r="O17" s="38">
        <v>257.58</v>
      </c>
      <c r="P17" s="38">
        <v>253.26</v>
      </c>
      <c r="Q17" s="11">
        <v>332.73500000000001</v>
      </c>
      <c r="R17" s="11"/>
    </row>
    <row r="18" spans="2:18" ht="15" customHeight="1" x14ac:dyDescent="0.25">
      <c r="B18" s="10" t="s">
        <v>8</v>
      </c>
      <c r="C18" s="36">
        <v>36.22583737109278</v>
      </c>
      <c r="D18" s="36">
        <v>28.908909296858081</v>
      </c>
      <c r="E18" s="36">
        <v>32.591755785718526</v>
      </c>
      <c r="F18" s="36">
        <v>27.670471757463371</v>
      </c>
      <c r="G18" s="36">
        <v>29.95563271572118</v>
      </c>
      <c r="H18" s="36">
        <v>29.422471335973636</v>
      </c>
      <c r="I18" s="11">
        <v>28.740500000000001</v>
      </c>
      <c r="J18" s="11"/>
      <c r="K18" s="38">
        <v>1976.2560000000001</v>
      </c>
      <c r="L18" s="38">
        <v>1611.184</v>
      </c>
      <c r="M18" s="38">
        <v>1851.317</v>
      </c>
      <c r="N18" s="38">
        <v>1594.838</v>
      </c>
      <c r="O18" s="38">
        <v>1760.6510000000001</v>
      </c>
      <c r="P18" s="38">
        <v>1755.0409999999999</v>
      </c>
      <c r="Q18" s="11">
        <v>1737.4069999999999</v>
      </c>
      <c r="R18" s="11"/>
    </row>
    <row r="19" spans="2:18" ht="15" customHeight="1" x14ac:dyDescent="0.25">
      <c r="B19" s="10" t="s">
        <v>9</v>
      </c>
      <c r="C19" s="36">
        <v>4.5961076567210668</v>
      </c>
      <c r="D19" s="36">
        <v>5.6651582281490382</v>
      </c>
      <c r="E19" s="36">
        <v>4.8701455885519183</v>
      </c>
      <c r="F19" s="36">
        <v>8.5796544639346859</v>
      </c>
      <c r="G19" s="36">
        <v>8.2018140616575437</v>
      </c>
      <c r="H19" s="36">
        <v>7.4699813980561167</v>
      </c>
      <c r="I19" s="11">
        <v>8.63279</v>
      </c>
      <c r="J19" s="11"/>
      <c r="K19" s="38">
        <v>250.73500000000001</v>
      </c>
      <c r="L19" s="38">
        <v>315.73700000000002</v>
      </c>
      <c r="M19" s="38">
        <v>276.64</v>
      </c>
      <c r="N19" s="38">
        <v>494.50400000000002</v>
      </c>
      <c r="O19" s="38">
        <v>482.06400000000002</v>
      </c>
      <c r="P19" s="38">
        <v>445.58199999999999</v>
      </c>
      <c r="Q19" s="11">
        <v>521.86500000000001</v>
      </c>
      <c r="R19" s="11"/>
    </row>
    <row r="20" spans="2:18" ht="15" customHeight="1" x14ac:dyDescent="0.25">
      <c r="B20" s="10" t="s">
        <v>10</v>
      </c>
      <c r="C20" s="36">
        <v>15.119596684152167</v>
      </c>
      <c r="D20" s="36">
        <v>16.913638261479303</v>
      </c>
      <c r="E20" s="36">
        <v>18.0714547394576</v>
      </c>
      <c r="F20" s="36">
        <v>17.194876469590099</v>
      </c>
      <c r="G20" s="36">
        <v>19.482660145105196</v>
      </c>
      <c r="H20" s="36">
        <v>19.72369340455808</v>
      </c>
      <c r="I20" s="11">
        <v>18.174499999999998</v>
      </c>
      <c r="J20" s="11"/>
      <c r="K20" s="38">
        <v>824.83100000000002</v>
      </c>
      <c r="L20" s="38">
        <v>942.65</v>
      </c>
      <c r="M20" s="38">
        <v>1026.5170000000001</v>
      </c>
      <c r="N20" s="38">
        <v>991.05799999999999</v>
      </c>
      <c r="O20" s="38">
        <v>1145.0989999999999</v>
      </c>
      <c r="P20" s="38">
        <v>1176.5119999999999</v>
      </c>
      <c r="Q20" s="11">
        <v>1098.675</v>
      </c>
      <c r="R20" s="11"/>
    </row>
    <row r="21" spans="2:18" x14ac:dyDescent="0.25">
      <c r="B21" s="12" t="s">
        <v>11</v>
      </c>
      <c r="C21" s="36"/>
      <c r="D21" s="36"/>
      <c r="E21" s="36"/>
      <c r="F21" s="36"/>
      <c r="G21" s="36"/>
      <c r="H21" s="36"/>
      <c r="I21" s="11"/>
      <c r="J21" s="11"/>
      <c r="K21" s="38"/>
      <c r="L21" s="38"/>
      <c r="M21" s="38"/>
      <c r="N21" s="38"/>
      <c r="O21" s="38"/>
      <c r="P21" s="38"/>
      <c r="Q21" s="11"/>
      <c r="R21" s="11"/>
    </row>
    <row r="22" spans="2:18" x14ac:dyDescent="0.25">
      <c r="B22" s="13" t="s">
        <v>12</v>
      </c>
      <c r="C22" s="36">
        <v>80.284295659126769</v>
      </c>
      <c r="D22" s="36">
        <v>77.421203510371654</v>
      </c>
      <c r="E22" s="36">
        <v>77.058399671990486</v>
      </c>
      <c r="F22" s="36">
        <v>74.225469066475213</v>
      </c>
      <c r="G22" s="36">
        <v>72.315525793237256</v>
      </c>
      <c r="H22" s="36">
        <v>72.806325197385803</v>
      </c>
      <c r="I22" s="11">
        <v>73.192700000000002</v>
      </c>
      <c r="J22" s="11"/>
      <c r="K22" s="38">
        <v>4379.8109999999997</v>
      </c>
      <c r="L22" s="38">
        <v>4314.9260000000004</v>
      </c>
      <c r="M22" s="38">
        <v>4377.1660000000002</v>
      </c>
      <c r="N22" s="38">
        <v>4278.12</v>
      </c>
      <c r="O22" s="38">
        <v>4250.366</v>
      </c>
      <c r="P22" s="38">
        <v>4342.8739999999998</v>
      </c>
      <c r="Q22" s="11">
        <v>4424.6120000000001</v>
      </c>
      <c r="R22" s="11"/>
    </row>
    <row r="23" spans="2:18" x14ac:dyDescent="0.25">
      <c r="B23" s="13" t="s">
        <v>13</v>
      </c>
      <c r="C23" s="36">
        <v>30.558969618415006</v>
      </c>
      <c r="D23" s="36">
        <v>24.694952535412959</v>
      </c>
      <c r="E23" s="36">
        <v>22.220567386748957</v>
      </c>
      <c r="F23" s="36">
        <v>17.745947815996786</v>
      </c>
      <c r="G23" s="36">
        <v>13.93662200560814</v>
      </c>
      <c r="H23" s="36">
        <v>14.096672438142166</v>
      </c>
      <c r="I23" s="11">
        <v>16.349</v>
      </c>
      <c r="J23" s="11"/>
      <c r="K23" s="38">
        <v>1667.107</v>
      </c>
      <c r="L23" s="38">
        <v>1376.327</v>
      </c>
      <c r="M23" s="38">
        <v>1262.2</v>
      </c>
      <c r="N23" s="38">
        <v>1022.82</v>
      </c>
      <c r="O23" s="38">
        <v>819.12900000000002</v>
      </c>
      <c r="P23" s="38">
        <v>840.86199999999997</v>
      </c>
      <c r="Q23" s="11">
        <v>988.32299999999998</v>
      </c>
      <c r="R23" s="11"/>
    </row>
    <row r="24" spans="2:18" x14ac:dyDescent="0.25">
      <c r="B24" s="14" t="s">
        <v>14</v>
      </c>
      <c r="C24" s="36"/>
      <c r="D24" s="36"/>
      <c r="E24" s="36"/>
      <c r="F24" s="36"/>
      <c r="G24" s="36"/>
      <c r="H24" s="36"/>
      <c r="I24" s="11"/>
      <c r="J24" s="11"/>
      <c r="K24" s="38"/>
      <c r="L24" s="38"/>
      <c r="M24" s="38"/>
      <c r="N24" s="38"/>
      <c r="O24" s="38"/>
      <c r="P24" s="38"/>
      <c r="Q24" s="11"/>
      <c r="R24" s="11"/>
    </row>
    <row r="25" spans="2:18" x14ac:dyDescent="0.25">
      <c r="B25" s="15" t="s">
        <v>15</v>
      </c>
      <c r="C25" s="36">
        <v>25.818765595851577</v>
      </c>
      <c r="D25" s="36">
        <v>23.59670092097824</v>
      </c>
      <c r="E25" s="36">
        <v>23.92909698973104</v>
      </c>
      <c r="F25" s="36">
        <v>20.956152681567094</v>
      </c>
      <c r="G25" s="36">
        <v>20.109624299599371</v>
      </c>
      <c r="H25" s="36">
        <v>19.018140583486783</v>
      </c>
      <c r="I25" s="11">
        <v>18.286899999999999</v>
      </c>
      <c r="J25" s="11"/>
      <c r="K25" s="38">
        <v>1408.511</v>
      </c>
      <c r="L25" s="38">
        <v>1315.1179999999999</v>
      </c>
      <c r="M25" s="38">
        <v>1359.25</v>
      </c>
      <c r="N25" s="38">
        <v>1207.846</v>
      </c>
      <c r="O25" s="38">
        <v>1181.9490000000001</v>
      </c>
      <c r="P25" s="38">
        <v>1134.4259999999999</v>
      </c>
      <c r="Q25" s="11">
        <v>1105.47</v>
      </c>
      <c r="R25" s="11"/>
    </row>
    <row r="26" spans="2:18" x14ac:dyDescent="0.25">
      <c r="B26" s="13" t="s">
        <v>16</v>
      </c>
      <c r="C26" s="36">
        <v>36.178654564111703</v>
      </c>
      <c r="D26" s="36">
        <v>25.27331588948979</v>
      </c>
      <c r="E26" s="36">
        <v>19.043917044858187</v>
      </c>
      <c r="F26" s="36">
        <v>15.416898434021864</v>
      </c>
      <c r="G26" s="36">
        <v>13.445769472171044</v>
      </c>
      <c r="H26" s="36">
        <v>13.659419463775832</v>
      </c>
      <c r="I26" s="11">
        <v>24.848200000000002</v>
      </c>
      <c r="J26" s="11"/>
      <c r="K26" s="38">
        <v>1973.682</v>
      </c>
      <c r="L26" s="38">
        <v>1408.5609999999999</v>
      </c>
      <c r="M26" s="38">
        <v>1081.7560000000001</v>
      </c>
      <c r="N26" s="38">
        <v>888.58100000000002</v>
      </c>
      <c r="O26" s="38">
        <v>790.279</v>
      </c>
      <c r="P26" s="38">
        <v>814.78</v>
      </c>
      <c r="Q26" s="11">
        <v>1502.1089999999999</v>
      </c>
      <c r="R26" s="11"/>
    </row>
    <row r="27" spans="2:18" x14ac:dyDescent="0.25">
      <c r="B27" s="13" t="s">
        <v>17</v>
      </c>
      <c r="C27" s="36">
        <v>66.661369140941133</v>
      </c>
      <c r="D27" s="36">
        <v>65.729952722913637</v>
      </c>
      <c r="E27" s="36">
        <v>62.090747304334627</v>
      </c>
      <c r="F27" s="36">
        <v>57.853035611610771</v>
      </c>
      <c r="G27" s="36">
        <v>54.498565638723349</v>
      </c>
      <c r="H27" s="36">
        <v>57.061563448454379</v>
      </c>
      <c r="I27" s="11">
        <v>56.173799999999993</v>
      </c>
      <c r="J27" s="11"/>
      <c r="K27" s="38">
        <v>3636.6289999999999</v>
      </c>
      <c r="L27" s="38">
        <v>3663.3359999999998</v>
      </c>
      <c r="M27" s="38">
        <v>3526.9549999999999</v>
      </c>
      <c r="N27" s="38">
        <v>3334.4650000000001</v>
      </c>
      <c r="O27" s="38">
        <v>3203.1689999999999</v>
      </c>
      <c r="P27" s="38">
        <v>3403.7040000000002</v>
      </c>
      <c r="Q27" s="11">
        <v>3395.7910000000002</v>
      </c>
      <c r="R27" s="11"/>
    </row>
    <row r="28" spans="2:18" x14ac:dyDescent="0.25">
      <c r="B28" s="13" t="s">
        <v>18</v>
      </c>
      <c r="C28" s="36">
        <v>13.205705123587242</v>
      </c>
      <c r="D28" s="36">
        <v>9.5574571175169964</v>
      </c>
      <c r="E28" s="36">
        <v>9.7533890238283991</v>
      </c>
      <c r="F28" s="36">
        <v>9.7721213626983587</v>
      </c>
      <c r="G28" s="36">
        <v>7.7350022432896539</v>
      </c>
      <c r="H28" s="36">
        <v>9.0884142211659817</v>
      </c>
      <c r="I28" s="11">
        <v>5.9437199999999999</v>
      </c>
      <c r="J28" s="11"/>
      <c r="K28" s="38">
        <v>720.42100000000005</v>
      </c>
      <c r="L28" s="38">
        <v>532.66700000000003</v>
      </c>
      <c r="M28" s="38">
        <v>554.024</v>
      </c>
      <c r="N28" s="38">
        <v>563.23400000000004</v>
      </c>
      <c r="O28" s="38">
        <v>454.62700000000001</v>
      </c>
      <c r="P28" s="38">
        <v>542.12099999999998</v>
      </c>
      <c r="Q28" s="11">
        <v>359.30700000000002</v>
      </c>
      <c r="R28" s="11"/>
    </row>
    <row r="29" spans="2:18" x14ac:dyDescent="0.25">
      <c r="B29" s="13" t="s">
        <v>19</v>
      </c>
      <c r="C29" s="36">
        <v>16.24335036790308</v>
      </c>
      <c r="D29" s="36">
        <v>17.966082292525108</v>
      </c>
      <c r="E29" s="36">
        <v>15.340870580775073</v>
      </c>
      <c r="F29" s="36">
        <v>14.915291995637512</v>
      </c>
      <c r="G29" s="36">
        <v>13.479746335577417</v>
      </c>
      <c r="H29" s="36">
        <v>11.946702815505466</v>
      </c>
      <c r="I29" s="11">
        <v>10.462100000000001</v>
      </c>
      <c r="J29" s="11"/>
      <c r="K29" s="38">
        <v>886.13599999999997</v>
      </c>
      <c r="L29" s="38">
        <v>1001.306</v>
      </c>
      <c r="M29" s="38">
        <v>871.41099999999994</v>
      </c>
      <c r="N29" s="38">
        <v>859.67</v>
      </c>
      <c r="O29" s="38">
        <v>792.27599999999995</v>
      </c>
      <c r="P29" s="38">
        <v>712.61699999999996</v>
      </c>
      <c r="Q29" s="11">
        <v>632.45000000000005</v>
      </c>
      <c r="R29" s="11"/>
    </row>
    <row r="30" spans="2:18" x14ac:dyDescent="0.25">
      <c r="B30" s="13" t="s">
        <v>20</v>
      </c>
      <c r="C30" s="36">
        <v>27.092866359190211</v>
      </c>
      <c r="D30" s="36">
        <v>23.743651217866287</v>
      </c>
      <c r="E30" s="36">
        <v>28.467852972445407</v>
      </c>
      <c r="F30" s="36">
        <v>22.941428760295938</v>
      </c>
      <c r="G30" s="36">
        <v>19.772577897956779</v>
      </c>
      <c r="H30" s="36">
        <v>20.691494070043628</v>
      </c>
      <c r="I30" s="11">
        <v>22.768799999999999</v>
      </c>
      <c r="J30" s="11"/>
      <c r="K30" s="38">
        <v>1478.018</v>
      </c>
      <c r="L30" s="38">
        <v>1323.308</v>
      </c>
      <c r="M30" s="38">
        <v>1617.066</v>
      </c>
      <c r="N30" s="38">
        <v>1322.271</v>
      </c>
      <c r="O30" s="38">
        <v>1162.1389999999999</v>
      </c>
      <c r="P30" s="38">
        <v>1234.241</v>
      </c>
      <c r="Q30" s="11">
        <v>1376.4069999999999</v>
      </c>
      <c r="R30" s="11"/>
    </row>
    <row r="31" spans="2:18" x14ac:dyDescent="0.25">
      <c r="B31" s="7" t="s">
        <v>21</v>
      </c>
      <c r="C31" s="36"/>
      <c r="D31" s="36"/>
      <c r="E31" s="36"/>
      <c r="F31" s="36"/>
      <c r="G31" s="36"/>
      <c r="H31" s="36"/>
      <c r="I31" s="11"/>
      <c r="J31" s="11"/>
      <c r="K31" s="38"/>
      <c r="L31" s="38"/>
      <c r="M31" s="38"/>
      <c r="N31" s="38"/>
      <c r="O31" s="38"/>
      <c r="P31" s="38"/>
      <c r="Q31" s="11"/>
      <c r="R31" s="11"/>
    </row>
    <row r="32" spans="2:18" ht="15" customHeight="1" x14ac:dyDescent="0.25">
      <c r="B32" s="15" t="s">
        <v>22</v>
      </c>
      <c r="C32" s="36">
        <v>12.996297047848387</v>
      </c>
      <c r="D32" s="36">
        <v>16.461304075331853</v>
      </c>
      <c r="E32" s="36">
        <v>16.868477373557806</v>
      </c>
      <c r="F32" s="36">
        <v>17.913149962124905</v>
      </c>
      <c r="G32" s="36">
        <v>15.592504945530679</v>
      </c>
      <c r="H32" s="36">
        <v>15.932725875478294</v>
      </c>
      <c r="I32" s="11">
        <v>18.0136</v>
      </c>
      <c r="J32" s="11"/>
      <c r="K32" s="38">
        <v>708.99699999999996</v>
      </c>
      <c r="L32" s="38">
        <v>917.44</v>
      </c>
      <c r="M32" s="38">
        <v>958.18399999999997</v>
      </c>
      <c r="N32" s="38">
        <v>1032.4570000000001</v>
      </c>
      <c r="O32" s="38">
        <v>916.45399999999995</v>
      </c>
      <c r="P32" s="38">
        <v>950.38199999999995</v>
      </c>
      <c r="Q32" s="11">
        <v>1088.952</v>
      </c>
      <c r="R32" s="11"/>
    </row>
    <row r="33" spans="1:18" ht="15" customHeight="1" thickBot="1" x14ac:dyDescent="0.3">
      <c r="A33" s="17"/>
      <c r="B33" s="35" t="s">
        <v>23</v>
      </c>
      <c r="C33" s="37">
        <v>48.654565944755056</v>
      </c>
      <c r="D33" s="37">
        <v>54.177452441662624</v>
      </c>
      <c r="E33" s="37">
        <v>49.336789474823881</v>
      </c>
      <c r="F33" s="37">
        <v>55.134651772946533</v>
      </c>
      <c r="G33" s="37">
        <v>50.56170713917362</v>
      </c>
      <c r="H33" s="37">
        <v>50.853835259468283</v>
      </c>
      <c r="I33" s="18">
        <v>53.085000000000008</v>
      </c>
      <c r="J33" s="18"/>
      <c r="K33" s="39">
        <v>2654.29</v>
      </c>
      <c r="L33" s="39">
        <v>3019.4789999999998</v>
      </c>
      <c r="M33" s="39">
        <v>2802.489</v>
      </c>
      <c r="N33" s="39">
        <v>3177.7860000000001</v>
      </c>
      <c r="O33" s="39">
        <v>2971.779</v>
      </c>
      <c r="P33" s="39">
        <v>3033.415</v>
      </c>
      <c r="Q33" s="18">
        <v>3209.07</v>
      </c>
      <c r="R33" s="18"/>
    </row>
    <row r="34" spans="1:18" ht="15.75" thickTop="1" x14ac:dyDescent="0.25">
      <c r="B34" s="19" t="s">
        <v>47</v>
      </c>
    </row>
    <row r="35" spans="1:18" x14ac:dyDescent="0.25">
      <c r="B35" s="19" t="s">
        <v>35</v>
      </c>
    </row>
    <row r="36" spans="1:18" x14ac:dyDescent="0.25">
      <c r="B36" s="27"/>
      <c r="C36" s="27"/>
      <c r="D36" s="29"/>
      <c r="E36" s="29"/>
    </row>
    <row r="37" spans="1:18" x14ac:dyDescent="0.25">
      <c r="B37" s="27"/>
      <c r="C37" s="28"/>
      <c r="D37" s="29"/>
      <c r="E37" s="29"/>
    </row>
    <row r="38" spans="1:18" x14ac:dyDescent="0.25">
      <c r="B38" s="80"/>
      <c r="C38" s="80"/>
      <c r="D38" s="80"/>
      <c r="E38" s="80"/>
    </row>
    <row r="39" spans="1:18" x14ac:dyDescent="0.25">
      <c r="B39" s="80"/>
      <c r="C39" s="80"/>
      <c r="D39" s="80"/>
      <c r="E39" s="80"/>
    </row>
  </sheetData>
  <mergeCells count="9">
    <mergeCell ref="B4:R4"/>
    <mergeCell ref="B9:R9"/>
    <mergeCell ref="B10:R10"/>
    <mergeCell ref="B38:E38"/>
    <mergeCell ref="B39:E39"/>
    <mergeCell ref="C12:I12"/>
    <mergeCell ref="K12:Q12"/>
    <mergeCell ref="B11:B13"/>
    <mergeCell ref="C11:R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A73D9-F276-4B09-AC9A-C402F2ECF556}">
  <dimension ref="A4:R39"/>
  <sheetViews>
    <sheetView topLeftCell="E1" zoomScaleNormal="100" workbookViewId="0">
      <selection activeCell="U4" sqref="U4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9.7109375" style="2" bestFit="1" customWidth="1"/>
    <col min="17" max="17" width="8.4257812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x14ac:dyDescent="0.25">
      <c r="A9" s="1"/>
      <c r="B9" s="70" t="s">
        <v>51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15.75" thickTop="1" x14ac:dyDescent="0.25">
      <c r="B11" s="79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x14ac:dyDescent="0.25">
      <c r="B15" s="10" t="s">
        <v>5</v>
      </c>
      <c r="C15" s="36">
        <v>68.443182485430441</v>
      </c>
      <c r="D15" s="36">
        <v>67.570571102686074</v>
      </c>
      <c r="E15" s="36">
        <v>69.696149241842392</v>
      </c>
      <c r="F15" s="36">
        <v>65.218074656188605</v>
      </c>
      <c r="G15" s="36">
        <v>64.407395586877996</v>
      </c>
      <c r="H15" s="36">
        <v>66.469488282274725</v>
      </c>
      <c r="I15" s="11">
        <v>65.617099999999994</v>
      </c>
      <c r="J15" s="11"/>
      <c r="K15" s="38">
        <v>2319.5990000000002</v>
      </c>
      <c r="L15" s="38">
        <v>2329.9609999999998</v>
      </c>
      <c r="M15" s="38">
        <v>2442.9029999999998</v>
      </c>
      <c r="N15" s="38">
        <v>2315.4209999999998</v>
      </c>
      <c r="O15" s="38">
        <v>2314.7199999999998</v>
      </c>
      <c r="P15" s="38">
        <v>2412.1990000000001</v>
      </c>
      <c r="Q15" s="11">
        <v>2402.6579999999999</v>
      </c>
      <c r="R15" s="11"/>
    </row>
    <row r="16" spans="1:18" x14ac:dyDescent="0.25">
      <c r="B16" s="10" t="s">
        <v>6</v>
      </c>
      <c r="C16" s="36">
        <v>36.037935880666389</v>
      </c>
      <c r="D16" s="36">
        <v>35.740645306855278</v>
      </c>
      <c r="E16" s="36">
        <v>37.984711315817407</v>
      </c>
      <c r="F16" s="36">
        <v>40.765687165078759</v>
      </c>
      <c r="G16" s="36">
        <v>41.445704953959137</v>
      </c>
      <c r="H16" s="36">
        <v>39.700945045400537</v>
      </c>
      <c r="I16" s="11">
        <v>38.731500000000004</v>
      </c>
      <c r="J16" s="11"/>
      <c r="K16" s="38">
        <v>1221.357</v>
      </c>
      <c r="L16" s="38">
        <v>1232.405</v>
      </c>
      <c r="M16" s="38">
        <v>1331.393</v>
      </c>
      <c r="N16" s="38">
        <v>1447.2940000000001</v>
      </c>
      <c r="O16" s="38">
        <v>1489.5060000000001</v>
      </c>
      <c r="P16" s="38">
        <v>1440.76</v>
      </c>
      <c r="Q16" s="11">
        <v>1418.2059999999999</v>
      </c>
      <c r="R16" s="11"/>
    </row>
    <row r="17" spans="2:18" x14ac:dyDescent="0.25">
      <c r="B17" s="10" t="s">
        <v>7</v>
      </c>
      <c r="C17" s="36">
        <v>32.405246604764052</v>
      </c>
      <c r="D17" s="36">
        <v>31.8299257958308</v>
      </c>
      <c r="E17" s="36">
        <v>31.711437926024999</v>
      </c>
      <c r="F17" s="36">
        <v>24.452387491109846</v>
      </c>
      <c r="G17" s="36">
        <v>22.961690632918859</v>
      </c>
      <c r="H17" s="36">
        <v>26.768543236874187</v>
      </c>
      <c r="I17" s="11">
        <v>26.885599999999997</v>
      </c>
      <c r="J17" s="11"/>
      <c r="K17" s="38">
        <v>1098.242</v>
      </c>
      <c r="L17" s="38">
        <v>1097.556</v>
      </c>
      <c r="M17" s="38">
        <v>1111.51</v>
      </c>
      <c r="N17" s="38">
        <v>868.12699999999995</v>
      </c>
      <c r="O17" s="38">
        <v>825.21400000000006</v>
      </c>
      <c r="P17" s="38">
        <v>971.43899999999996</v>
      </c>
      <c r="Q17" s="11">
        <v>984.452</v>
      </c>
      <c r="R17" s="11"/>
    </row>
    <row r="18" spans="2:18" x14ac:dyDescent="0.25">
      <c r="B18" s="10" t="s">
        <v>8</v>
      </c>
      <c r="C18" s="36">
        <v>22.811689401894963</v>
      </c>
      <c r="D18" s="36">
        <v>22.958457323539978</v>
      </c>
      <c r="E18" s="36">
        <v>21.69516438445272</v>
      </c>
      <c r="F18" s="36">
        <v>26.15569216469147</v>
      </c>
      <c r="G18" s="36">
        <v>23.82093078970793</v>
      </c>
      <c r="H18" s="36">
        <v>23.237436319106582</v>
      </c>
      <c r="I18" s="11">
        <v>23.8004</v>
      </c>
      <c r="J18" s="11"/>
      <c r="K18" s="38">
        <v>773.10799999999995</v>
      </c>
      <c r="L18" s="38">
        <v>791.65099999999995</v>
      </c>
      <c r="M18" s="38">
        <v>760.43200000000002</v>
      </c>
      <c r="N18" s="38">
        <v>928.59900000000005</v>
      </c>
      <c r="O18" s="38">
        <v>856.09400000000005</v>
      </c>
      <c r="P18" s="38">
        <v>843.29399999999998</v>
      </c>
      <c r="Q18" s="11">
        <v>871.48500000000001</v>
      </c>
      <c r="R18" s="11"/>
    </row>
    <row r="19" spans="2:18" x14ac:dyDescent="0.25">
      <c r="B19" s="10" t="s">
        <v>9</v>
      </c>
      <c r="C19" s="44">
        <v>1.9930441443373983</v>
      </c>
      <c r="D19" s="44">
        <v>1.9780528271507158</v>
      </c>
      <c r="E19" s="44">
        <v>2.2500225387409576</v>
      </c>
      <c r="F19" s="36">
        <v>2.6471470519889304</v>
      </c>
      <c r="G19" s="36">
        <v>3.2165577359021871</v>
      </c>
      <c r="H19" s="36">
        <v>3.0416926607425889</v>
      </c>
      <c r="I19" s="11">
        <v>3.5773100000000002</v>
      </c>
      <c r="J19" s="11"/>
      <c r="K19" s="38">
        <v>67.546000000000006</v>
      </c>
      <c r="L19" s="38">
        <v>68.206999999999994</v>
      </c>
      <c r="M19" s="38">
        <v>78.864999999999995</v>
      </c>
      <c r="N19" s="38">
        <v>93.980999999999995</v>
      </c>
      <c r="O19" s="38">
        <v>115.599</v>
      </c>
      <c r="P19" s="38">
        <v>110.384</v>
      </c>
      <c r="Q19" s="11">
        <v>130.988</v>
      </c>
      <c r="R19" s="11"/>
    </row>
    <row r="20" spans="2:18" x14ac:dyDescent="0.25">
      <c r="B20" s="10" t="s">
        <v>10</v>
      </c>
      <c r="C20" s="36">
        <v>6.7520839683371952</v>
      </c>
      <c r="D20" s="36">
        <v>7.4929187466232268</v>
      </c>
      <c r="E20" s="36">
        <v>6.3586638349639211</v>
      </c>
      <c r="F20" s="36">
        <v>5.979086127130997</v>
      </c>
      <c r="G20" s="36">
        <v>8.5551158875118851</v>
      </c>
      <c r="H20" s="36">
        <v>7.2513827378761055</v>
      </c>
      <c r="I20" s="11">
        <v>7.0052000000000003</v>
      </c>
      <c r="J20" s="11"/>
      <c r="K20" s="38">
        <v>228.834</v>
      </c>
      <c r="L20" s="38">
        <v>258.37</v>
      </c>
      <c r="M20" s="38">
        <v>222.876</v>
      </c>
      <c r="N20" s="38">
        <v>212.274</v>
      </c>
      <c r="O20" s="38">
        <v>307.45999999999998</v>
      </c>
      <c r="P20" s="38">
        <v>263.15499999999997</v>
      </c>
      <c r="Q20" s="11">
        <v>256.505</v>
      </c>
      <c r="R20" s="11"/>
    </row>
    <row r="21" spans="2:18" x14ac:dyDescent="0.25">
      <c r="B21" s="12" t="s">
        <v>11</v>
      </c>
      <c r="C21" s="36"/>
      <c r="D21" s="36"/>
      <c r="E21" s="36"/>
      <c r="F21" s="36"/>
      <c r="G21" s="36"/>
      <c r="H21" s="36"/>
      <c r="I21" s="11"/>
      <c r="J21" s="11"/>
      <c r="K21" s="38"/>
      <c r="L21" s="38"/>
      <c r="M21" s="38"/>
      <c r="N21" s="38"/>
      <c r="O21" s="38"/>
      <c r="P21" s="38"/>
      <c r="Q21" s="11"/>
      <c r="R21" s="11"/>
    </row>
    <row r="22" spans="2:18" x14ac:dyDescent="0.25">
      <c r="B22" s="13" t="s">
        <v>12</v>
      </c>
      <c r="C22" s="36">
        <v>91.254871887325407</v>
      </c>
      <c r="D22" s="36">
        <v>90.529028426226049</v>
      </c>
      <c r="E22" s="36">
        <v>91.39131362629513</v>
      </c>
      <c r="F22" s="36">
        <v>91.373766820880078</v>
      </c>
      <c r="G22" s="36">
        <v>88.228326376585926</v>
      </c>
      <c r="H22" s="36">
        <v>89.706924601381317</v>
      </c>
      <c r="I22" s="11">
        <v>89.417500000000004</v>
      </c>
      <c r="J22" s="11"/>
      <c r="K22" s="38">
        <v>3092.7069999999999</v>
      </c>
      <c r="L22" s="38">
        <v>3121.6120000000001</v>
      </c>
      <c r="M22" s="38">
        <v>3203.335</v>
      </c>
      <c r="N22" s="38">
        <v>3244.02</v>
      </c>
      <c r="O22" s="38">
        <v>3170.8139999999999</v>
      </c>
      <c r="P22" s="38">
        <v>3255.4929999999999</v>
      </c>
      <c r="Q22" s="11">
        <v>3274.143</v>
      </c>
      <c r="R22" s="11"/>
    </row>
    <row r="23" spans="2:18" x14ac:dyDescent="0.25">
      <c r="B23" s="13" t="s">
        <v>13</v>
      </c>
      <c r="C23" s="36">
        <v>62.601638730430942</v>
      </c>
      <c r="D23" s="36">
        <v>60.664047127347146</v>
      </c>
      <c r="E23" s="36">
        <v>53.826564673633328</v>
      </c>
      <c r="F23" s="36">
        <v>51.789790931688394</v>
      </c>
      <c r="G23" s="36">
        <v>41.689620083959561</v>
      </c>
      <c r="H23" s="36">
        <v>46.62455442663498</v>
      </c>
      <c r="I23" s="11">
        <v>50.419099999999993</v>
      </c>
      <c r="J23" s="11"/>
      <c r="K23" s="38">
        <v>2121.6239999999998</v>
      </c>
      <c r="L23" s="38">
        <v>2091.8110000000001</v>
      </c>
      <c r="M23" s="38">
        <v>1886.662</v>
      </c>
      <c r="N23" s="38">
        <v>1838.68</v>
      </c>
      <c r="O23" s="38">
        <v>1498.2719999999999</v>
      </c>
      <c r="P23" s="38">
        <v>1692.02</v>
      </c>
      <c r="Q23" s="11">
        <v>1846.163</v>
      </c>
      <c r="R23" s="11"/>
    </row>
    <row r="24" spans="2:18" x14ac:dyDescent="0.25">
      <c r="B24" s="14" t="s">
        <v>14</v>
      </c>
      <c r="C24" s="36"/>
      <c r="D24" s="36"/>
      <c r="E24" s="36"/>
      <c r="F24" s="36"/>
      <c r="G24" s="36"/>
      <c r="H24" s="36"/>
      <c r="I24" s="11"/>
      <c r="J24" s="11"/>
      <c r="K24" s="38"/>
      <c r="L24" s="38"/>
      <c r="M24" s="38"/>
      <c r="N24" s="38"/>
      <c r="O24" s="38"/>
      <c r="P24" s="38"/>
      <c r="Q24" s="11"/>
      <c r="R24" s="11"/>
    </row>
    <row r="25" spans="2:18" x14ac:dyDescent="0.25">
      <c r="B25" s="15" t="s">
        <v>15</v>
      </c>
      <c r="C25" s="36">
        <v>28.511277521055078</v>
      </c>
      <c r="D25" s="36">
        <v>28.380143895824734</v>
      </c>
      <c r="E25" s="36">
        <v>26.764298406083064</v>
      </c>
      <c r="F25" s="36">
        <v>26.778404489793044</v>
      </c>
      <c r="G25" s="36">
        <v>25.169948965920607</v>
      </c>
      <c r="H25" s="36">
        <v>23.687473684442573</v>
      </c>
      <c r="I25" s="11">
        <v>23.862400000000001</v>
      </c>
      <c r="J25" s="11"/>
      <c r="K25" s="38">
        <v>966.27200000000005</v>
      </c>
      <c r="L25" s="38">
        <v>978.601</v>
      </c>
      <c r="M25" s="38">
        <v>938.10900000000004</v>
      </c>
      <c r="N25" s="38">
        <v>950.70699999999999</v>
      </c>
      <c r="O25" s="38">
        <v>904.57600000000002</v>
      </c>
      <c r="P25" s="38">
        <v>859.62599999999998</v>
      </c>
      <c r="Q25" s="11">
        <v>873.75599999999997</v>
      </c>
      <c r="R25" s="11"/>
    </row>
    <row r="26" spans="2:18" x14ac:dyDescent="0.25">
      <c r="B26" s="13" t="s">
        <v>16</v>
      </c>
      <c r="C26" s="36">
        <v>55.864248985051134</v>
      </c>
      <c r="D26" s="36">
        <v>38.92167743705464</v>
      </c>
      <c r="E26" s="36">
        <v>25.382502405083368</v>
      </c>
      <c r="F26" s="36">
        <v>19.24470639598341</v>
      </c>
      <c r="G26" s="36">
        <v>13.321950998268441</v>
      </c>
      <c r="H26" s="36">
        <v>13.779680090999474</v>
      </c>
      <c r="I26" s="11">
        <v>33.478900000000003</v>
      </c>
      <c r="J26" s="11"/>
      <c r="K26" s="38">
        <v>1893.288</v>
      </c>
      <c r="L26" s="38">
        <v>1342.0930000000001</v>
      </c>
      <c r="M26" s="38">
        <v>889.67600000000004</v>
      </c>
      <c r="N26" s="38">
        <v>683.24</v>
      </c>
      <c r="O26" s="38">
        <v>478.774</v>
      </c>
      <c r="P26" s="38">
        <v>500.06900000000002</v>
      </c>
      <c r="Q26" s="11">
        <v>1225.875</v>
      </c>
      <c r="R26" s="11"/>
    </row>
    <row r="27" spans="2:18" x14ac:dyDescent="0.25">
      <c r="B27" s="13" t="s">
        <v>17</v>
      </c>
      <c r="C27" s="36">
        <v>81.170356500142958</v>
      </c>
      <c r="D27" s="36">
        <v>78.491057189730611</v>
      </c>
      <c r="E27" s="36">
        <v>78.535444024608879</v>
      </c>
      <c r="F27" s="36">
        <v>78.099358500397855</v>
      </c>
      <c r="G27" s="36">
        <v>73.94638040910182</v>
      </c>
      <c r="H27" s="36">
        <v>75.584508486009497</v>
      </c>
      <c r="I27" s="11">
        <v>74.268699999999995</v>
      </c>
      <c r="J27" s="11"/>
      <c r="K27" s="38">
        <v>2750.9340000000002</v>
      </c>
      <c r="L27" s="38">
        <v>2706.52</v>
      </c>
      <c r="M27" s="38">
        <v>2752.7269999999999</v>
      </c>
      <c r="N27" s="38">
        <v>2772.7420000000002</v>
      </c>
      <c r="O27" s="38">
        <v>2657.5390000000002</v>
      </c>
      <c r="P27" s="38">
        <v>2742.9859999999999</v>
      </c>
      <c r="Q27" s="11">
        <v>2719.4479999999999</v>
      </c>
      <c r="R27" s="11"/>
    </row>
    <row r="28" spans="2:18" x14ac:dyDescent="0.25">
      <c r="B28" s="13" t="s">
        <v>18</v>
      </c>
      <c r="C28" s="36">
        <v>44.688200686497574</v>
      </c>
      <c r="D28" s="36">
        <v>40.705454370395586</v>
      </c>
      <c r="E28" s="36">
        <v>33.361387884314063</v>
      </c>
      <c r="F28" s="36">
        <v>32.894353254325367</v>
      </c>
      <c r="G28" s="36">
        <v>31.655292215389913</v>
      </c>
      <c r="H28" s="36">
        <v>28.827411827727062</v>
      </c>
      <c r="I28" s="11">
        <v>25.942599999999999</v>
      </c>
      <c r="J28" s="11"/>
      <c r="K28" s="38">
        <v>1514.5219999999999</v>
      </c>
      <c r="L28" s="38">
        <v>1403.6010000000001</v>
      </c>
      <c r="M28" s="38">
        <v>1169.3420000000001</v>
      </c>
      <c r="N28" s="38">
        <v>1167.8399999999999</v>
      </c>
      <c r="O28" s="38">
        <v>1137.6510000000001</v>
      </c>
      <c r="P28" s="38">
        <v>1046.1559999999999</v>
      </c>
      <c r="Q28" s="11">
        <v>949.92399999999998</v>
      </c>
      <c r="R28" s="11"/>
    </row>
    <row r="29" spans="2:18" x14ac:dyDescent="0.25">
      <c r="B29" s="13" t="s">
        <v>19</v>
      </c>
      <c r="C29" s="36">
        <v>54.633386513831006</v>
      </c>
      <c r="D29" s="36">
        <v>56.585007376335803</v>
      </c>
      <c r="E29" s="36">
        <v>59.002743449785399</v>
      </c>
      <c r="F29" s="36">
        <v>57.97345276070164</v>
      </c>
      <c r="G29" s="36">
        <v>50.217105612802683</v>
      </c>
      <c r="H29" s="36">
        <v>58.627589946850847</v>
      </c>
      <c r="I29" s="11">
        <v>56.284300000000002</v>
      </c>
      <c r="J29" s="11"/>
      <c r="K29" s="38">
        <v>1851.5730000000001</v>
      </c>
      <c r="L29" s="38">
        <v>1951.1579999999999</v>
      </c>
      <c r="M29" s="38">
        <v>2068.0909999999999</v>
      </c>
      <c r="N29" s="38">
        <v>2058.2170000000001</v>
      </c>
      <c r="O29" s="38">
        <v>1804.739</v>
      </c>
      <c r="P29" s="38">
        <v>2127.614</v>
      </c>
      <c r="Q29" s="11">
        <v>2060.9270000000001</v>
      </c>
      <c r="R29" s="11"/>
    </row>
    <row r="30" spans="2:18" x14ac:dyDescent="0.25">
      <c r="B30" s="13" t="s">
        <v>20</v>
      </c>
      <c r="C30" s="36">
        <v>33.983872352642472</v>
      </c>
      <c r="D30" s="36">
        <v>42.673559946975068</v>
      </c>
      <c r="E30" s="36">
        <v>39.435835342799983</v>
      </c>
      <c r="F30" s="36">
        <v>38.459386948898327</v>
      </c>
      <c r="G30" s="36">
        <v>27.834372555735833</v>
      </c>
      <c r="H30" s="36">
        <v>35.555569639507176</v>
      </c>
      <c r="I30" s="11">
        <v>33.343299999999999</v>
      </c>
      <c r="J30" s="11"/>
      <c r="K30" s="38">
        <v>1151.7429999999999</v>
      </c>
      <c r="L30" s="38">
        <v>1471.4649999999999</v>
      </c>
      <c r="M30" s="38">
        <v>1382.2560000000001</v>
      </c>
      <c r="N30" s="38">
        <v>1365.414</v>
      </c>
      <c r="O30" s="38">
        <v>1000.332</v>
      </c>
      <c r="P30" s="38">
        <v>1290.3230000000001</v>
      </c>
      <c r="Q30" s="11">
        <v>1220.9110000000001</v>
      </c>
      <c r="R30" s="11"/>
    </row>
    <row r="31" spans="2:18" x14ac:dyDescent="0.25">
      <c r="B31" s="7" t="s">
        <v>21</v>
      </c>
      <c r="C31" s="36"/>
      <c r="D31" s="36"/>
      <c r="E31" s="36"/>
      <c r="F31" s="36"/>
      <c r="G31" s="36"/>
      <c r="H31" s="36"/>
      <c r="I31" s="11"/>
      <c r="J31" s="11"/>
      <c r="K31" s="38"/>
      <c r="L31" s="38"/>
      <c r="M31" s="38"/>
      <c r="N31" s="38"/>
      <c r="O31" s="38"/>
      <c r="P31" s="38"/>
      <c r="Q31" s="11"/>
      <c r="R31" s="11"/>
    </row>
    <row r="32" spans="2:18" ht="25.5" x14ac:dyDescent="0.25">
      <c r="B32" s="15" t="s">
        <v>22</v>
      </c>
      <c r="C32" s="36">
        <v>38.901627488465188</v>
      </c>
      <c r="D32" s="36">
        <v>38.759679356322984</v>
      </c>
      <c r="E32" s="36">
        <v>45.127438035580397</v>
      </c>
      <c r="F32" s="36">
        <v>35.577666518790792</v>
      </c>
      <c r="G32" s="36">
        <v>35.193202430915058</v>
      </c>
      <c r="H32" s="36">
        <v>38.642398303459437</v>
      </c>
      <c r="I32" s="11">
        <v>38.020600000000002</v>
      </c>
      <c r="J32" s="11"/>
      <c r="K32" s="38">
        <v>1318.41</v>
      </c>
      <c r="L32" s="38">
        <v>1336.5070000000001</v>
      </c>
      <c r="M32" s="38">
        <v>1581.751</v>
      </c>
      <c r="N32" s="38">
        <v>1263.105</v>
      </c>
      <c r="O32" s="38">
        <v>1264.799</v>
      </c>
      <c r="P32" s="38">
        <v>1402.345</v>
      </c>
      <c r="Q32" s="11">
        <v>1392.1769999999999</v>
      </c>
      <c r="R32" s="11"/>
    </row>
    <row r="33" spans="1:18" ht="15.75" thickBot="1" x14ac:dyDescent="0.3">
      <c r="A33" s="17"/>
      <c r="B33" s="35" t="s">
        <v>23</v>
      </c>
      <c r="C33" s="37">
        <v>70.436226629767845</v>
      </c>
      <c r="D33" s="37">
        <v>69.548623929836793</v>
      </c>
      <c r="E33" s="37">
        <v>71.946171780583356</v>
      </c>
      <c r="F33" s="37">
        <v>67.865221708177543</v>
      </c>
      <c r="G33" s="37">
        <v>67.623953322780181</v>
      </c>
      <c r="H33" s="37">
        <v>69.511180943017308</v>
      </c>
      <c r="I33" s="18">
        <v>69.194400000000002</v>
      </c>
      <c r="J33" s="18"/>
      <c r="K33" s="39">
        <v>2387.145</v>
      </c>
      <c r="L33" s="39">
        <v>2398.1680000000001</v>
      </c>
      <c r="M33" s="39">
        <v>2521.768</v>
      </c>
      <c r="N33" s="39">
        <v>2409.402</v>
      </c>
      <c r="O33" s="39">
        <v>2430.319</v>
      </c>
      <c r="P33" s="39">
        <v>2522.5830000000001</v>
      </c>
      <c r="Q33" s="18">
        <v>2533.6460000000002</v>
      </c>
      <c r="R33" s="18"/>
    </row>
    <row r="34" spans="1:18" ht="15.75" thickTop="1" x14ac:dyDescent="0.25">
      <c r="B34" s="19" t="s">
        <v>47</v>
      </c>
    </row>
    <row r="35" spans="1:18" x14ac:dyDescent="0.25">
      <c r="B35" s="19" t="s">
        <v>35</v>
      </c>
    </row>
    <row r="36" spans="1:18" x14ac:dyDescent="0.25">
      <c r="B36" s="27" t="s">
        <v>27</v>
      </c>
      <c r="C36" s="27"/>
      <c r="D36" s="45"/>
      <c r="E36" s="45"/>
    </row>
    <row r="37" spans="1:18" x14ac:dyDescent="0.25">
      <c r="B37" s="27" t="s">
        <v>28</v>
      </c>
      <c r="C37" s="28"/>
      <c r="D37" s="45"/>
      <c r="E37" s="45"/>
    </row>
    <row r="38" spans="1:18" x14ac:dyDescent="0.25">
      <c r="B38" s="67" t="s">
        <v>29</v>
      </c>
      <c r="C38" s="67"/>
      <c r="D38" s="67"/>
      <c r="E38" s="67"/>
    </row>
    <row r="39" spans="1:18" x14ac:dyDescent="0.25">
      <c r="B39" s="68" t="s">
        <v>30</v>
      </c>
      <c r="C39" s="68"/>
      <c r="D39" s="68"/>
      <c r="E39" s="68"/>
    </row>
  </sheetData>
  <mergeCells count="9">
    <mergeCell ref="B4:R4"/>
    <mergeCell ref="B9:R9"/>
    <mergeCell ref="B10:R10"/>
    <mergeCell ref="B38:E38"/>
    <mergeCell ref="B39:E39"/>
    <mergeCell ref="C12:I12"/>
    <mergeCell ref="K12:Q12"/>
    <mergeCell ref="B11:B13"/>
    <mergeCell ref="C11:R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C1F4D-CBDA-4648-8B95-E06CCAB047BD}">
  <dimension ref="A4:R39"/>
  <sheetViews>
    <sheetView topLeftCell="F1" zoomScaleNormal="100" workbookViewId="0">
      <selection activeCell="V6" sqref="V6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9.7109375" style="2" bestFit="1" customWidth="1"/>
    <col min="17" max="17" width="8.4257812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customHeight="1" x14ac:dyDescent="0.25">
      <c r="A9" s="1"/>
      <c r="B9" s="70" t="s">
        <v>52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36">
        <v>55.181786837282878</v>
      </c>
      <c r="D15" s="36">
        <v>54.668455080175114</v>
      </c>
      <c r="E15" s="36">
        <v>52.773120739590063</v>
      </c>
      <c r="F15" s="36">
        <v>54.303553034491856</v>
      </c>
      <c r="G15" s="36">
        <v>50.620330407023694</v>
      </c>
      <c r="H15" s="36">
        <v>43.845155490931852</v>
      </c>
      <c r="I15" s="11">
        <v>45.663199999999996</v>
      </c>
      <c r="J15" s="11"/>
      <c r="K15" s="38">
        <v>1443.6030000000001</v>
      </c>
      <c r="L15" s="38">
        <v>1477.0519999999999</v>
      </c>
      <c r="M15" s="38">
        <v>1465.9079999999999</v>
      </c>
      <c r="N15" s="38">
        <v>1547.8119999999999</v>
      </c>
      <c r="O15" s="38">
        <v>1478.836</v>
      </c>
      <c r="P15" s="38">
        <v>1311.1030000000001</v>
      </c>
      <c r="Q15" s="11">
        <v>1394.75</v>
      </c>
      <c r="R15" s="11"/>
    </row>
    <row r="16" spans="1:18" ht="15" customHeight="1" x14ac:dyDescent="0.25">
      <c r="B16" s="10" t="s">
        <v>6</v>
      </c>
      <c r="C16" s="36">
        <v>39.843682508908344</v>
      </c>
      <c r="D16" s="36">
        <v>41.196245812107023</v>
      </c>
      <c r="E16" s="36">
        <v>42.811335052947435</v>
      </c>
      <c r="F16" s="36">
        <v>42.008128278606854</v>
      </c>
      <c r="G16" s="36">
        <v>42.601749076735445</v>
      </c>
      <c r="H16" s="36">
        <v>37.77643937754803</v>
      </c>
      <c r="I16" s="11">
        <v>38.4223</v>
      </c>
      <c r="J16" s="11"/>
      <c r="K16" s="38">
        <v>1042.345</v>
      </c>
      <c r="L16" s="38">
        <v>1113.0550000000001</v>
      </c>
      <c r="M16" s="38">
        <v>1189.194</v>
      </c>
      <c r="N16" s="38">
        <v>1197.356</v>
      </c>
      <c r="O16" s="38">
        <v>1244.579</v>
      </c>
      <c r="P16" s="38">
        <v>1129.6300000000001</v>
      </c>
      <c r="Q16" s="11">
        <v>1173.5840000000001</v>
      </c>
      <c r="R16" s="11"/>
    </row>
    <row r="17" spans="2:18" ht="15" customHeight="1" x14ac:dyDescent="0.25">
      <c r="B17" s="10" t="s">
        <v>7</v>
      </c>
      <c r="C17" s="36">
        <v>15.338104328374527</v>
      </c>
      <c r="D17" s="36">
        <v>13.472209268068083</v>
      </c>
      <c r="E17" s="36">
        <v>9.9617856866426315</v>
      </c>
      <c r="F17" s="36">
        <v>12.295424755885003</v>
      </c>
      <c r="G17" s="36">
        <v>8.0185813302882458</v>
      </c>
      <c r="H17" s="44">
        <v>6.0687161133838279</v>
      </c>
      <c r="I17" s="11">
        <v>7.2408200000000003</v>
      </c>
      <c r="J17" s="11"/>
      <c r="K17" s="38">
        <v>401.25799999999998</v>
      </c>
      <c r="L17" s="38">
        <v>363.99700000000001</v>
      </c>
      <c r="M17" s="38">
        <v>276.714</v>
      </c>
      <c r="N17" s="38">
        <v>350.45600000000002</v>
      </c>
      <c r="O17" s="38">
        <v>234.25700000000001</v>
      </c>
      <c r="P17" s="38">
        <v>181.47300000000001</v>
      </c>
      <c r="Q17" s="11">
        <v>221.166</v>
      </c>
      <c r="R17" s="11"/>
    </row>
    <row r="18" spans="2:18" ht="15" customHeight="1" x14ac:dyDescent="0.25">
      <c r="B18" s="10" t="s">
        <v>8</v>
      </c>
      <c r="C18" s="36">
        <v>30.525525537004516</v>
      </c>
      <c r="D18" s="36">
        <v>27.460808131951751</v>
      </c>
      <c r="E18" s="36">
        <v>30.686723631133777</v>
      </c>
      <c r="F18" s="36">
        <v>25.80886336015628</v>
      </c>
      <c r="G18" s="36">
        <v>31.903107625143466</v>
      </c>
      <c r="H18" s="36">
        <v>38.862650373557464</v>
      </c>
      <c r="I18" s="11">
        <v>33.566499999999998</v>
      </c>
      <c r="J18" s="11"/>
      <c r="K18" s="38">
        <v>798.57399999999996</v>
      </c>
      <c r="L18" s="38">
        <v>741.94600000000003</v>
      </c>
      <c r="M18" s="38">
        <v>852.40200000000004</v>
      </c>
      <c r="N18" s="38">
        <v>735.62900000000002</v>
      </c>
      <c r="O18" s="38">
        <v>932.02599999999995</v>
      </c>
      <c r="P18" s="38">
        <v>1162.1110000000001</v>
      </c>
      <c r="Q18" s="11">
        <v>1025.2660000000001</v>
      </c>
      <c r="R18" s="11"/>
    </row>
    <row r="19" spans="2:18" ht="15" customHeight="1" x14ac:dyDescent="0.25">
      <c r="B19" s="10" t="s">
        <v>9</v>
      </c>
      <c r="C19" s="36">
        <v>3.4286334623555952</v>
      </c>
      <c r="D19" s="44">
        <v>4.1725700597667661</v>
      </c>
      <c r="E19" s="44">
        <v>3.0070686579629955</v>
      </c>
      <c r="F19" s="36">
        <v>5.1047680661938264</v>
      </c>
      <c r="G19" s="36">
        <v>4.6553276874623259</v>
      </c>
      <c r="H19" s="36">
        <v>3.7992470997086247</v>
      </c>
      <c r="I19" s="11">
        <v>4.92835</v>
      </c>
      <c r="J19" s="11"/>
      <c r="K19" s="38">
        <v>89.695999999999998</v>
      </c>
      <c r="L19" s="38">
        <v>112.736</v>
      </c>
      <c r="M19" s="38">
        <v>83.528999999999996</v>
      </c>
      <c r="N19" s="38">
        <v>145.501</v>
      </c>
      <c r="O19" s="38">
        <v>136.00200000000001</v>
      </c>
      <c r="P19" s="38">
        <v>113.60899999999999</v>
      </c>
      <c r="Q19" s="11">
        <v>150.53299999999999</v>
      </c>
      <c r="R19" s="11"/>
    </row>
    <row r="20" spans="2:18" ht="15" customHeight="1" x14ac:dyDescent="0.25">
      <c r="B20" s="10" t="s">
        <v>10</v>
      </c>
      <c r="C20" s="36">
        <v>10.864054163357014</v>
      </c>
      <c r="D20" s="36">
        <v>13.69816672810637</v>
      </c>
      <c r="E20" s="36">
        <v>13.533086971313166</v>
      </c>
      <c r="F20" s="36">
        <v>14.78281553915804</v>
      </c>
      <c r="G20" s="36">
        <v>12.821234280370517</v>
      </c>
      <c r="H20" s="36">
        <v>13.492947035802057</v>
      </c>
      <c r="I20" s="11">
        <v>15.842000000000001</v>
      </c>
      <c r="J20" s="11"/>
      <c r="K20" s="38">
        <v>284.21300000000002</v>
      </c>
      <c r="L20" s="38">
        <v>370.10199999999998</v>
      </c>
      <c r="M20" s="38">
        <v>375.916</v>
      </c>
      <c r="N20" s="38">
        <v>421.35399999999998</v>
      </c>
      <c r="O20" s="38">
        <v>374.56299999999999</v>
      </c>
      <c r="P20" s="38">
        <v>403.48</v>
      </c>
      <c r="Q20" s="11">
        <v>483.88200000000001</v>
      </c>
      <c r="R20" s="11"/>
    </row>
    <row r="21" spans="2:18" x14ac:dyDescent="0.25">
      <c r="B21" s="12" t="s">
        <v>11</v>
      </c>
      <c r="C21" s="36"/>
      <c r="D21" s="36"/>
      <c r="E21" s="36"/>
      <c r="F21" s="36"/>
      <c r="G21" s="36"/>
      <c r="H21" s="36"/>
      <c r="I21" s="11"/>
      <c r="J21" s="11"/>
      <c r="K21" s="38"/>
      <c r="L21" s="38"/>
      <c r="M21" s="38"/>
      <c r="N21" s="38"/>
      <c r="O21" s="38"/>
      <c r="P21" s="38"/>
      <c r="Q21" s="11"/>
      <c r="R21" s="11"/>
    </row>
    <row r="22" spans="2:18" x14ac:dyDescent="0.25">
      <c r="B22" s="13" t="s">
        <v>12</v>
      </c>
      <c r="C22" s="36">
        <v>85.707312374287397</v>
      </c>
      <c r="D22" s="36">
        <v>82.129263212126872</v>
      </c>
      <c r="E22" s="36">
        <v>83.459844370723829</v>
      </c>
      <c r="F22" s="36">
        <v>80.112416394648136</v>
      </c>
      <c r="G22" s="36">
        <v>82.523438032167149</v>
      </c>
      <c r="H22" s="36">
        <v>82.707805864489316</v>
      </c>
      <c r="I22" s="11">
        <v>79.229700000000008</v>
      </c>
      <c r="J22" s="11"/>
      <c r="K22" s="38">
        <v>2242.1770000000001</v>
      </c>
      <c r="L22" s="38">
        <v>2218.998</v>
      </c>
      <c r="M22" s="38">
        <v>2318.31</v>
      </c>
      <c r="N22" s="38">
        <v>2283.4409999999998</v>
      </c>
      <c r="O22" s="38">
        <v>2410.8620000000001</v>
      </c>
      <c r="P22" s="38">
        <v>2473.2139999999999</v>
      </c>
      <c r="Q22" s="11">
        <v>2420.0160000000001</v>
      </c>
      <c r="R22" s="11"/>
    </row>
    <row r="23" spans="2:18" x14ac:dyDescent="0.25">
      <c r="B23" s="13" t="s">
        <v>13</v>
      </c>
      <c r="C23" s="36">
        <v>39.536544287917138</v>
      </c>
      <c r="D23" s="36">
        <v>34.715541579873829</v>
      </c>
      <c r="E23" s="36">
        <v>25.869524130097865</v>
      </c>
      <c r="F23" s="36">
        <v>26.780586998683649</v>
      </c>
      <c r="G23" s="36">
        <v>23.326750933704659</v>
      </c>
      <c r="H23" s="36">
        <v>21.246341925885105</v>
      </c>
      <c r="I23" s="11">
        <v>22.654900000000001</v>
      </c>
      <c r="J23" s="11"/>
      <c r="K23" s="38">
        <v>1034.31</v>
      </c>
      <c r="L23" s="38">
        <v>937.95699999999999</v>
      </c>
      <c r="M23" s="38">
        <v>718.59199999999998</v>
      </c>
      <c r="N23" s="38">
        <v>763.32600000000002</v>
      </c>
      <c r="O23" s="38">
        <v>681.47400000000005</v>
      </c>
      <c r="P23" s="38">
        <v>635.33000000000004</v>
      </c>
      <c r="Q23" s="11">
        <v>691.97699999999998</v>
      </c>
      <c r="R23" s="11"/>
    </row>
    <row r="24" spans="2:18" x14ac:dyDescent="0.25">
      <c r="B24" s="14" t="s">
        <v>14</v>
      </c>
      <c r="C24" s="36"/>
      <c r="D24" s="36"/>
      <c r="E24" s="36"/>
      <c r="F24" s="36"/>
      <c r="G24" s="36"/>
      <c r="H24" s="36"/>
      <c r="I24" s="11"/>
      <c r="J24" s="11"/>
      <c r="K24" s="38"/>
      <c r="L24" s="38"/>
      <c r="M24" s="38"/>
      <c r="N24" s="38"/>
      <c r="O24" s="38"/>
      <c r="P24" s="38"/>
      <c r="Q24" s="11"/>
      <c r="R24" s="11"/>
    </row>
    <row r="25" spans="2:18" x14ac:dyDescent="0.25">
      <c r="B25" s="15" t="s">
        <v>15</v>
      </c>
      <c r="C25" s="36">
        <v>23.709006508195831</v>
      </c>
      <c r="D25" s="36">
        <v>23.391501186600518</v>
      </c>
      <c r="E25" s="36">
        <v>20.614921042352545</v>
      </c>
      <c r="F25" s="36">
        <v>19.050688068888284</v>
      </c>
      <c r="G25" s="36">
        <v>18.536454958484331</v>
      </c>
      <c r="H25" s="36">
        <v>17.503510513817496</v>
      </c>
      <c r="I25" s="11">
        <v>15.876999999999999</v>
      </c>
      <c r="J25" s="11"/>
      <c r="K25" s="38">
        <v>620.24800000000005</v>
      </c>
      <c r="L25" s="38">
        <v>632</v>
      </c>
      <c r="M25" s="38">
        <v>572.63199999999995</v>
      </c>
      <c r="N25" s="38">
        <v>543.00099999999998</v>
      </c>
      <c r="O25" s="38">
        <v>541.529</v>
      </c>
      <c r="P25" s="38">
        <v>523.40800000000002</v>
      </c>
      <c r="Q25" s="11">
        <v>484.95299999999997</v>
      </c>
      <c r="R25" s="11"/>
    </row>
    <row r="26" spans="2:18" x14ac:dyDescent="0.25">
      <c r="B26" s="13" t="s">
        <v>16</v>
      </c>
      <c r="C26" s="36">
        <v>47.406736628688812</v>
      </c>
      <c r="D26" s="36">
        <v>29.779823793894227</v>
      </c>
      <c r="E26" s="36">
        <v>18.657872994558556</v>
      </c>
      <c r="F26" s="36">
        <v>17.314763098288736</v>
      </c>
      <c r="G26" s="36">
        <v>14.429968642036922</v>
      </c>
      <c r="H26" s="36">
        <v>14.432784905074836</v>
      </c>
      <c r="I26" s="11">
        <v>26.9254</v>
      </c>
      <c r="J26" s="11"/>
      <c r="K26" s="38">
        <v>1240.201</v>
      </c>
      <c r="L26" s="38">
        <v>804.60199999999998</v>
      </c>
      <c r="M26" s="38">
        <v>518.27</v>
      </c>
      <c r="N26" s="38">
        <v>493.52199999999999</v>
      </c>
      <c r="O26" s="38">
        <v>421.56099999999998</v>
      </c>
      <c r="P26" s="38">
        <v>431.584</v>
      </c>
      <c r="Q26" s="11">
        <v>822.41899999999998</v>
      </c>
      <c r="R26" s="11"/>
    </row>
    <row r="27" spans="2:18" x14ac:dyDescent="0.25">
      <c r="B27" s="13" t="s">
        <v>17</v>
      </c>
      <c r="C27" s="36">
        <v>77.197079912510532</v>
      </c>
      <c r="D27" s="36">
        <v>71.830969755381162</v>
      </c>
      <c r="E27" s="36">
        <v>71.332388925589186</v>
      </c>
      <c r="F27" s="36">
        <v>68.900177385085613</v>
      </c>
      <c r="G27" s="36">
        <v>72.093124353269815</v>
      </c>
      <c r="H27" s="36">
        <v>70.813158398998368</v>
      </c>
      <c r="I27" s="11">
        <v>67.496200000000002</v>
      </c>
      <c r="J27" s="11"/>
      <c r="K27" s="38">
        <v>2019.5419999999999</v>
      </c>
      <c r="L27" s="38">
        <v>1940.7550000000001</v>
      </c>
      <c r="M27" s="38">
        <v>1981.4390000000001</v>
      </c>
      <c r="N27" s="38">
        <v>1963.8589999999999</v>
      </c>
      <c r="O27" s="38">
        <v>2106.1480000000001</v>
      </c>
      <c r="P27" s="38">
        <v>2117.5279999999998</v>
      </c>
      <c r="Q27" s="11">
        <v>2061.6260000000002</v>
      </c>
      <c r="R27" s="11"/>
    </row>
    <row r="28" spans="2:18" x14ac:dyDescent="0.25">
      <c r="B28" s="13" t="s">
        <v>18</v>
      </c>
      <c r="C28" s="36">
        <v>21.272886288906403</v>
      </c>
      <c r="D28" s="36">
        <v>13.585428575235506</v>
      </c>
      <c r="E28" s="36">
        <v>12.774812753464579</v>
      </c>
      <c r="F28" s="44">
        <v>9.1987990019282204</v>
      </c>
      <c r="G28" s="36">
        <v>11.225438800969526</v>
      </c>
      <c r="H28" s="36">
        <v>9.7563691706158213</v>
      </c>
      <c r="I28" s="11">
        <v>7.8844800000000008</v>
      </c>
      <c r="J28" s="11"/>
      <c r="K28" s="38">
        <v>556.51700000000005</v>
      </c>
      <c r="L28" s="38">
        <v>367.05599999999998</v>
      </c>
      <c r="M28" s="38">
        <v>354.85300000000001</v>
      </c>
      <c r="N28" s="38">
        <v>262.19299999999998</v>
      </c>
      <c r="O28" s="38">
        <v>327.94299999999998</v>
      </c>
      <c r="P28" s="38">
        <v>291.745</v>
      </c>
      <c r="Q28" s="11">
        <v>240.82599999999999</v>
      </c>
      <c r="R28" s="11"/>
    </row>
    <row r="29" spans="2:18" x14ac:dyDescent="0.25">
      <c r="B29" s="13" t="s">
        <v>19</v>
      </c>
      <c r="C29" s="36">
        <v>30.09167129826772</v>
      </c>
      <c r="D29" s="36">
        <v>31.684010428464198</v>
      </c>
      <c r="E29" s="36">
        <v>28.251411661575627</v>
      </c>
      <c r="F29" s="36">
        <v>27.049155596471387</v>
      </c>
      <c r="G29" s="36">
        <v>28.049237581496989</v>
      </c>
      <c r="H29" s="36">
        <v>25.629911082589292</v>
      </c>
      <c r="I29" s="11">
        <v>20.520700000000001</v>
      </c>
      <c r="J29" s="11"/>
      <c r="K29" s="38">
        <v>787.22400000000005</v>
      </c>
      <c r="L29" s="38">
        <v>856.05</v>
      </c>
      <c r="M29" s="38">
        <v>784.755</v>
      </c>
      <c r="N29" s="38">
        <v>770.98099999999999</v>
      </c>
      <c r="O29" s="38">
        <v>819.43799999999999</v>
      </c>
      <c r="P29" s="38">
        <v>766.41200000000003</v>
      </c>
      <c r="Q29" s="11">
        <v>626.79</v>
      </c>
      <c r="R29" s="11"/>
    </row>
    <row r="30" spans="2:18" x14ac:dyDescent="0.25">
      <c r="B30" s="13" t="s">
        <v>20</v>
      </c>
      <c r="C30" s="36">
        <v>23.903304402072408</v>
      </c>
      <c r="D30" s="36">
        <v>29.003462830460474</v>
      </c>
      <c r="E30" s="36">
        <v>24.981036844502125</v>
      </c>
      <c r="F30" s="36">
        <v>31.681797258951349</v>
      </c>
      <c r="G30" s="36">
        <v>24.460032716888016</v>
      </c>
      <c r="H30" s="36">
        <v>22.732713039447841</v>
      </c>
      <c r="I30" s="11">
        <v>25.312000000000001</v>
      </c>
      <c r="J30" s="11"/>
      <c r="K30" s="38">
        <v>625.33100000000002</v>
      </c>
      <c r="L30" s="38">
        <v>783.62599999999998</v>
      </c>
      <c r="M30" s="38">
        <v>693.91200000000003</v>
      </c>
      <c r="N30" s="38">
        <v>903.02499999999998</v>
      </c>
      <c r="O30" s="38">
        <v>714.58199999999999</v>
      </c>
      <c r="P30" s="38">
        <v>679.77700000000004</v>
      </c>
      <c r="Q30" s="11">
        <v>773.13900000000001</v>
      </c>
      <c r="R30" s="11"/>
    </row>
    <row r="31" spans="2:18" x14ac:dyDescent="0.25">
      <c r="B31" s="7" t="s">
        <v>21</v>
      </c>
      <c r="C31" s="36"/>
      <c r="D31" s="36"/>
      <c r="E31" s="36"/>
      <c r="F31" s="36"/>
      <c r="G31" s="36"/>
      <c r="H31" s="36"/>
      <c r="I31" s="11"/>
      <c r="J31" s="11"/>
      <c r="K31" s="38"/>
      <c r="L31" s="38"/>
      <c r="M31" s="38"/>
      <c r="N31" s="38"/>
      <c r="O31" s="38"/>
      <c r="P31" s="38"/>
      <c r="Q31" s="11"/>
      <c r="R31" s="11"/>
    </row>
    <row r="32" spans="2:18" ht="15" customHeight="1" x14ac:dyDescent="0.25">
      <c r="B32" s="15" t="s">
        <v>22</v>
      </c>
      <c r="C32" s="36">
        <v>22.707586830096563</v>
      </c>
      <c r="D32" s="36">
        <v>23.753884395647994</v>
      </c>
      <c r="E32" s="36">
        <v>23.755082791678891</v>
      </c>
      <c r="F32" s="36">
        <v>24.682383864693353</v>
      </c>
      <c r="G32" s="36">
        <v>18.239853331950449</v>
      </c>
      <c r="H32" s="36">
        <v>14.682191068931811</v>
      </c>
      <c r="I32" s="11">
        <v>16.456599999999998</v>
      </c>
      <c r="J32" s="11"/>
      <c r="K32" s="38">
        <v>594.04999999999995</v>
      </c>
      <c r="L32" s="38">
        <v>641.79100000000005</v>
      </c>
      <c r="M32" s="38">
        <v>659.85799999999995</v>
      </c>
      <c r="N32" s="38">
        <v>703.52099999999996</v>
      </c>
      <c r="O32" s="38">
        <v>532.86400000000003</v>
      </c>
      <c r="P32" s="38">
        <v>439.04199999999997</v>
      </c>
      <c r="Q32" s="11">
        <v>502.65499999999997</v>
      </c>
      <c r="R32" s="11"/>
    </row>
    <row r="33" spans="1:18" ht="15" customHeight="1" thickBot="1" x14ac:dyDescent="0.3">
      <c r="A33" s="17"/>
      <c r="B33" s="35" t="s">
        <v>23</v>
      </c>
      <c r="C33" s="37">
        <v>58.610420299638463</v>
      </c>
      <c r="D33" s="37">
        <v>58.84102513994187</v>
      </c>
      <c r="E33" s="37">
        <v>55.780189397553059</v>
      </c>
      <c r="F33" s="37">
        <v>59.408321100685683</v>
      </c>
      <c r="G33" s="37">
        <v>55.275658094486012</v>
      </c>
      <c r="H33" s="37">
        <v>47.644402590640475</v>
      </c>
      <c r="I33" s="18">
        <v>50.591500000000003</v>
      </c>
      <c r="J33" s="18"/>
      <c r="K33" s="39">
        <v>1533.299</v>
      </c>
      <c r="L33" s="39">
        <v>1589.788</v>
      </c>
      <c r="M33" s="39">
        <v>1549.4369999999999</v>
      </c>
      <c r="N33" s="39">
        <v>1693.3130000000001</v>
      </c>
      <c r="O33" s="39">
        <v>1614.838</v>
      </c>
      <c r="P33" s="39">
        <v>1424.712</v>
      </c>
      <c r="Q33" s="18">
        <v>1545.2829999999999</v>
      </c>
      <c r="R33" s="18"/>
    </row>
    <row r="34" spans="1:18" ht="15.75" thickTop="1" x14ac:dyDescent="0.25">
      <c r="B34" s="19" t="s">
        <v>47</v>
      </c>
    </row>
    <row r="35" spans="1:18" x14ac:dyDescent="0.25">
      <c r="B35" s="19" t="s">
        <v>35</v>
      </c>
    </row>
    <row r="36" spans="1:18" x14ac:dyDescent="0.25">
      <c r="B36" s="27" t="s">
        <v>27</v>
      </c>
      <c r="C36" s="27"/>
      <c r="D36" s="45"/>
      <c r="E36" s="45"/>
    </row>
    <row r="37" spans="1:18" x14ac:dyDescent="0.25">
      <c r="B37" s="27" t="s">
        <v>28</v>
      </c>
      <c r="C37" s="28"/>
      <c r="D37" s="45"/>
      <c r="E37" s="45"/>
    </row>
    <row r="38" spans="1:18" x14ac:dyDescent="0.25">
      <c r="B38" s="67" t="s">
        <v>29</v>
      </c>
      <c r="C38" s="67"/>
      <c r="D38" s="67"/>
      <c r="E38" s="67"/>
    </row>
    <row r="39" spans="1:18" x14ac:dyDescent="0.25">
      <c r="B39" s="68" t="s">
        <v>30</v>
      </c>
      <c r="C39" s="68"/>
      <c r="D39" s="68"/>
      <c r="E39" s="68"/>
    </row>
  </sheetData>
  <mergeCells count="9">
    <mergeCell ref="B4:R4"/>
    <mergeCell ref="B9:R9"/>
    <mergeCell ref="B10:R10"/>
    <mergeCell ref="B38:E38"/>
    <mergeCell ref="B39:E39"/>
    <mergeCell ref="C12:I12"/>
    <mergeCell ref="K12:Q12"/>
    <mergeCell ref="B11:B13"/>
    <mergeCell ref="C11:R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B9233-615C-4364-9DEA-27D0A5A8B738}">
  <dimension ref="A4:R39"/>
  <sheetViews>
    <sheetView zoomScaleNormal="100" workbookViewId="0">
      <selection activeCell="K37" sqref="K37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9.7109375" style="2" bestFit="1" customWidth="1"/>
    <col min="17" max="17" width="8.4257812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customHeight="1" x14ac:dyDescent="0.25">
      <c r="A9" s="1"/>
      <c r="B9" s="70" t="s">
        <v>53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36">
        <v>36.693009095035599</v>
      </c>
      <c r="D15" s="36">
        <v>37.049731225094249</v>
      </c>
      <c r="E15" s="36">
        <v>39.789097736124255</v>
      </c>
      <c r="F15" s="36">
        <v>35.368405545880911</v>
      </c>
      <c r="G15" s="36">
        <v>31.814014535891765</v>
      </c>
      <c r="H15" s="36">
        <v>28.429172396238648</v>
      </c>
      <c r="I15" s="11">
        <v>32.587500000000006</v>
      </c>
      <c r="J15" s="11"/>
      <c r="K15" s="38">
        <v>2657.096</v>
      </c>
      <c r="L15" s="38">
        <v>2766.652</v>
      </c>
      <c r="M15" s="38">
        <v>3050.9929999999999</v>
      </c>
      <c r="N15" s="38">
        <v>2780.223</v>
      </c>
      <c r="O15" s="38">
        <v>2560.5920000000001</v>
      </c>
      <c r="P15" s="38">
        <v>2337.643</v>
      </c>
      <c r="Q15" s="11">
        <v>2733.1570000000002</v>
      </c>
      <c r="R15" s="11"/>
    </row>
    <row r="16" spans="1:18" ht="15" customHeight="1" x14ac:dyDescent="0.25">
      <c r="B16" s="10" t="s">
        <v>6</v>
      </c>
      <c r="C16" s="36">
        <v>32.259571081540187</v>
      </c>
      <c r="D16" s="36">
        <v>31.795011410261747</v>
      </c>
      <c r="E16" s="36">
        <v>33.970303780220746</v>
      </c>
      <c r="F16" s="36">
        <v>32.147022047378918</v>
      </c>
      <c r="G16" s="36">
        <v>30.013943989715514</v>
      </c>
      <c r="H16" s="36">
        <v>25.455437885237327</v>
      </c>
      <c r="I16" s="11">
        <v>29.111499999999999</v>
      </c>
      <c r="J16" s="11"/>
      <c r="K16" s="38">
        <v>2336.0520000000001</v>
      </c>
      <c r="L16" s="38">
        <v>2374.261</v>
      </c>
      <c r="M16" s="38">
        <v>2604.8130000000001</v>
      </c>
      <c r="N16" s="38">
        <v>2526.998</v>
      </c>
      <c r="O16" s="38">
        <v>2415.7109999999998</v>
      </c>
      <c r="P16" s="38">
        <v>2093.1219999999998</v>
      </c>
      <c r="Q16" s="11">
        <v>2441.625</v>
      </c>
      <c r="R16" s="11"/>
    </row>
    <row r="17" spans="2:18" ht="15" customHeight="1" x14ac:dyDescent="0.25">
      <c r="B17" s="10" t="s">
        <v>7</v>
      </c>
      <c r="C17" s="36">
        <v>4.4334380134954134</v>
      </c>
      <c r="D17" s="36">
        <v>5.2547198148324963</v>
      </c>
      <c r="E17" s="36">
        <v>5.8187939559035105</v>
      </c>
      <c r="F17" s="36">
        <v>3.221383498501988</v>
      </c>
      <c r="G17" s="36">
        <v>1.8000705461762494</v>
      </c>
      <c r="H17" s="36">
        <v>2.9737345110013256</v>
      </c>
      <c r="I17" s="11">
        <v>3.4759400000000005</v>
      </c>
      <c r="J17" s="11"/>
      <c r="K17" s="38">
        <v>321.04399999999998</v>
      </c>
      <c r="L17" s="38">
        <v>392.39100000000002</v>
      </c>
      <c r="M17" s="38">
        <v>446.18</v>
      </c>
      <c r="N17" s="38">
        <v>253.22499999999999</v>
      </c>
      <c r="O17" s="38">
        <v>144.881</v>
      </c>
      <c r="P17" s="38">
        <v>244.52099999999999</v>
      </c>
      <c r="Q17" s="11">
        <v>291.53199999999998</v>
      </c>
      <c r="R17" s="11"/>
    </row>
    <row r="18" spans="2:18" ht="15" customHeight="1" x14ac:dyDescent="0.25">
      <c r="B18" s="10" t="s">
        <v>8</v>
      </c>
      <c r="C18" s="36">
        <v>35.878017345485823</v>
      </c>
      <c r="D18" s="36">
        <v>33.693329178384822</v>
      </c>
      <c r="E18" s="36">
        <v>28.340479129129285</v>
      </c>
      <c r="F18" s="36">
        <v>29.621208044572828</v>
      </c>
      <c r="G18" s="36">
        <v>32.570578169275791</v>
      </c>
      <c r="H18" s="36">
        <v>36.516986957189559</v>
      </c>
      <c r="I18" s="11">
        <v>31.153199999999998</v>
      </c>
      <c r="J18" s="11"/>
      <c r="K18" s="38">
        <v>2598.0790000000002</v>
      </c>
      <c r="L18" s="38">
        <v>2516.0160000000001</v>
      </c>
      <c r="M18" s="38">
        <v>2173.123</v>
      </c>
      <c r="N18" s="38">
        <v>2328.4499999999998</v>
      </c>
      <c r="O18" s="38">
        <v>2621.4850000000001</v>
      </c>
      <c r="P18" s="38">
        <v>3002.6790000000001</v>
      </c>
      <c r="Q18" s="11">
        <v>2612.866</v>
      </c>
      <c r="R18" s="11"/>
    </row>
    <row r="19" spans="2:18" ht="15" customHeight="1" x14ac:dyDescent="0.25">
      <c r="B19" s="10" t="s">
        <v>9</v>
      </c>
      <c r="C19" s="36">
        <v>5.3207498029047606</v>
      </c>
      <c r="D19" s="36">
        <v>6.2398015052358913</v>
      </c>
      <c r="E19" s="36">
        <v>8.0801135954611905</v>
      </c>
      <c r="F19" s="36">
        <v>7.8819039346485003</v>
      </c>
      <c r="G19" s="36">
        <v>7.7837728636765346</v>
      </c>
      <c r="H19" s="36">
        <v>7.6583687748937663</v>
      </c>
      <c r="I19" s="11">
        <v>9.2863699999999998</v>
      </c>
      <c r="J19" s="11"/>
      <c r="K19" s="38">
        <v>385.298</v>
      </c>
      <c r="L19" s="38">
        <v>465.95100000000002</v>
      </c>
      <c r="M19" s="38">
        <v>619.57600000000002</v>
      </c>
      <c r="N19" s="38">
        <v>619.577</v>
      </c>
      <c r="O19" s="38">
        <v>626.48699999999997</v>
      </c>
      <c r="P19" s="38">
        <v>629.72400000000005</v>
      </c>
      <c r="Q19" s="11">
        <v>778.86099999999999</v>
      </c>
      <c r="R19" s="11"/>
    </row>
    <row r="20" spans="2:18" ht="15" customHeight="1" x14ac:dyDescent="0.25">
      <c r="B20" s="10" t="s">
        <v>10</v>
      </c>
      <c r="C20" s="36">
        <v>22.10822375657381</v>
      </c>
      <c r="D20" s="36">
        <v>23.017138091285041</v>
      </c>
      <c r="E20" s="36">
        <v>23.790309539285271</v>
      </c>
      <c r="F20" s="36">
        <v>27.128482474897766</v>
      </c>
      <c r="G20" s="36">
        <v>27.831634431155916</v>
      </c>
      <c r="H20" s="36">
        <v>27.395471871678019</v>
      </c>
      <c r="I20" s="11">
        <v>26.972899999999999</v>
      </c>
      <c r="J20" s="11"/>
      <c r="K20" s="38">
        <v>1600.95</v>
      </c>
      <c r="L20" s="38">
        <v>1718.7819999999999</v>
      </c>
      <c r="M20" s="38">
        <v>1824.22</v>
      </c>
      <c r="N20" s="38">
        <v>2132.5030000000002</v>
      </c>
      <c r="O20" s="38">
        <v>2240.0650000000001</v>
      </c>
      <c r="P20" s="38">
        <v>2252.645</v>
      </c>
      <c r="Q20" s="11">
        <v>2262.2600000000002</v>
      </c>
      <c r="R20" s="11"/>
    </row>
    <row r="21" spans="2:18" x14ac:dyDescent="0.25">
      <c r="B21" s="12" t="s">
        <v>11</v>
      </c>
      <c r="C21" s="36"/>
      <c r="D21" s="36"/>
      <c r="E21" s="36"/>
      <c r="F21" s="36"/>
      <c r="G21" s="36"/>
      <c r="H21" s="36"/>
      <c r="I21" s="11"/>
      <c r="J21" s="11"/>
      <c r="K21" s="38"/>
      <c r="L21" s="38"/>
      <c r="M21" s="38"/>
      <c r="N21" s="38"/>
      <c r="O21" s="38"/>
      <c r="P21" s="38"/>
      <c r="Q21" s="11"/>
      <c r="R21" s="11"/>
    </row>
    <row r="22" spans="2:18" x14ac:dyDescent="0.25">
      <c r="B22" s="13" t="s">
        <v>12</v>
      </c>
      <c r="C22" s="36">
        <v>72.571026440521422</v>
      </c>
      <c r="D22" s="36">
        <v>70.743060403479063</v>
      </c>
      <c r="E22" s="36">
        <v>68.12957686525354</v>
      </c>
      <c r="F22" s="36">
        <v>64.989613590453743</v>
      </c>
      <c r="G22" s="36">
        <v>64.384592705167549</v>
      </c>
      <c r="H22" s="36">
        <v>64.946159353428214</v>
      </c>
      <c r="I22" s="11">
        <v>63.740699999999997</v>
      </c>
      <c r="J22" s="11"/>
      <c r="K22" s="38">
        <v>5255.1750000000002</v>
      </c>
      <c r="L22" s="38">
        <v>5282.6679999999997</v>
      </c>
      <c r="M22" s="38">
        <v>5224.116</v>
      </c>
      <c r="N22" s="38">
        <v>5108.6729999999998</v>
      </c>
      <c r="O22" s="38">
        <v>5182.0770000000002</v>
      </c>
      <c r="P22" s="38">
        <v>5340.3220000000001</v>
      </c>
      <c r="Q22" s="11">
        <v>5346.0230000000001</v>
      </c>
      <c r="R22" s="11"/>
    </row>
    <row r="23" spans="2:18" x14ac:dyDescent="0.25">
      <c r="B23" s="13" t="s">
        <v>13</v>
      </c>
      <c r="C23" s="36">
        <v>21.16868466322158</v>
      </c>
      <c r="D23" s="36">
        <v>20.192500710755994</v>
      </c>
      <c r="E23" s="36">
        <v>16.955241531201715</v>
      </c>
      <c r="F23" s="36">
        <v>12.317255102660013</v>
      </c>
      <c r="G23" s="36">
        <v>9.4966608598806079</v>
      </c>
      <c r="H23" s="36">
        <v>11.541306854410557</v>
      </c>
      <c r="I23" s="11">
        <v>13.8985</v>
      </c>
      <c r="J23" s="11"/>
      <c r="K23" s="38">
        <v>1532.914</v>
      </c>
      <c r="L23" s="38">
        <v>1507.855</v>
      </c>
      <c r="M23" s="38">
        <v>1300.1130000000001</v>
      </c>
      <c r="N23" s="38">
        <v>968.22900000000004</v>
      </c>
      <c r="O23" s="38">
        <v>764.351</v>
      </c>
      <c r="P23" s="38">
        <v>949.00599999999997</v>
      </c>
      <c r="Q23" s="11">
        <v>1165.691</v>
      </c>
      <c r="R23" s="11"/>
    </row>
    <row r="24" spans="2:18" x14ac:dyDescent="0.25">
      <c r="B24" s="14" t="s">
        <v>14</v>
      </c>
      <c r="C24" s="36"/>
      <c r="D24" s="36"/>
      <c r="E24" s="36"/>
      <c r="F24" s="36"/>
      <c r="G24" s="36"/>
      <c r="H24" s="36"/>
      <c r="I24" s="11"/>
      <c r="J24" s="11"/>
      <c r="K24" s="38"/>
      <c r="L24" s="38"/>
      <c r="M24" s="38"/>
      <c r="N24" s="38"/>
      <c r="O24" s="38"/>
      <c r="P24" s="38"/>
      <c r="Q24" s="11"/>
      <c r="R24" s="11"/>
    </row>
    <row r="25" spans="2:18" x14ac:dyDescent="0.25">
      <c r="B25" s="15" t="s">
        <v>15</v>
      </c>
      <c r="C25" s="36">
        <v>21.582843593034131</v>
      </c>
      <c r="D25" s="36">
        <v>20.631555744763137</v>
      </c>
      <c r="E25" s="36">
        <v>18.386478613734745</v>
      </c>
      <c r="F25" s="36">
        <v>17.689755676078363</v>
      </c>
      <c r="G25" s="36">
        <v>16.312865209714602</v>
      </c>
      <c r="H25" s="36">
        <v>17.008337051702419</v>
      </c>
      <c r="I25" s="11">
        <v>15.360099999999999</v>
      </c>
      <c r="J25" s="11"/>
      <c r="K25" s="38">
        <v>1562.905</v>
      </c>
      <c r="L25" s="38">
        <v>1540.6410000000001</v>
      </c>
      <c r="M25" s="38">
        <v>1409.8589999999999</v>
      </c>
      <c r="N25" s="38">
        <v>1390.548</v>
      </c>
      <c r="O25" s="38">
        <v>1312.962</v>
      </c>
      <c r="P25" s="38">
        <v>1398.5429999999999</v>
      </c>
      <c r="Q25" s="11">
        <v>1288.27</v>
      </c>
      <c r="R25" s="11"/>
    </row>
    <row r="26" spans="2:18" x14ac:dyDescent="0.25">
      <c r="B26" s="13" t="s">
        <v>16</v>
      </c>
      <c r="C26" s="36">
        <v>33.948893746436305</v>
      </c>
      <c r="D26" s="36">
        <v>31.878266615118168</v>
      </c>
      <c r="E26" s="36">
        <v>23.727971839009108</v>
      </c>
      <c r="F26" s="36">
        <v>19.103080837166615</v>
      </c>
      <c r="G26" s="36">
        <v>17.58238577029703</v>
      </c>
      <c r="H26" s="36">
        <v>19.351256176353946</v>
      </c>
      <c r="I26" s="11">
        <v>32.088799999999999</v>
      </c>
      <c r="J26" s="11"/>
      <c r="K26" s="38">
        <v>2458.3829999999998</v>
      </c>
      <c r="L26" s="38">
        <v>2380.4780000000001</v>
      </c>
      <c r="M26" s="38">
        <v>1819.44</v>
      </c>
      <c r="N26" s="38">
        <v>1501.646</v>
      </c>
      <c r="O26" s="38">
        <v>1415.1410000000001</v>
      </c>
      <c r="P26" s="38">
        <v>1591.194</v>
      </c>
      <c r="Q26" s="11">
        <v>2691.3359999999998</v>
      </c>
      <c r="R26" s="11"/>
    </row>
    <row r="27" spans="2:18" x14ac:dyDescent="0.25">
      <c r="B27" s="13" t="s">
        <v>17</v>
      </c>
      <c r="C27" s="36">
        <v>57.994374862509758</v>
      </c>
      <c r="D27" s="36">
        <v>55.367684151420285</v>
      </c>
      <c r="E27" s="36">
        <v>53.506469557814441</v>
      </c>
      <c r="F27" s="36">
        <v>49.574271065380124</v>
      </c>
      <c r="G27" s="36">
        <v>49.105829079710347</v>
      </c>
      <c r="H27" s="36">
        <v>49.78776412733982</v>
      </c>
      <c r="I27" s="11">
        <v>49.924600000000005</v>
      </c>
      <c r="J27" s="11"/>
      <c r="K27" s="38">
        <v>4199.6180000000004</v>
      </c>
      <c r="L27" s="38">
        <v>4134.527</v>
      </c>
      <c r="M27" s="38">
        <v>4102.8289999999997</v>
      </c>
      <c r="N27" s="38">
        <v>3896.9110000000001</v>
      </c>
      <c r="O27" s="38">
        <v>3952.346</v>
      </c>
      <c r="P27" s="38">
        <v>4093.8939999999998</v>
      </c>
      <c r="Q27" s="11">
        <v>4187.2439999999997</v>
      </c>
      <c r="R27" s="11"/>
    </row>
    <row r="28" spans="2:18" x14ac:dyDescent="0.25">
      <c r="B28" s="13" t="s">
        <v>18</v>
      </c>
      <c r="C28" s="36">
        <v>9.7868471431650939</v>
      </c>
      <c r="D28" s="36">
        <v>6.6962253667641525</v>
      </c>
      <c r="E28" s="36">
        <v>9.0612151000167973</v>
      </c>
      <c r="F28" s="36">
        <v>6.5621957591085742</v>
      </c>
      <c r="G28" s="36">
        <v>6.0602619402633664</v>
      </c>
      <c r="H28" s="36">
        <v>7.076381685752267</v>
      </c>
      <c r="I28" s="11">
        <v>6.2975199999999996</v>
      </c>
      <c r="J28" s="11"/>
      <c r="K28" s="38">
        <v>708.70699999999999</v>
      </c>
      <c r="L28" s="38">
        <v>500.03399999999999</v>
      </c>
      <c r="M28" s="38">
        <v>694.80600000000004</v>
      </c>
      <c r="N28" s="38">
        <v>515.83799999999997</v>
      </c>
      <c r="O28" s="38">
        <v>487.76799999999997</v>
      </c>
      <c r="P28" s="38">
        <v>581.86900000000003</v>
      </c>
      <c r="Q28" s="11">
        <v>528.18200000000002</v>
      </c>
      <c r="R28" s="11"/>
    </row>
    <row r="29" spans="2:18" x14ac:dyDescent="0.25">
      <c r="B29" s="13" t="s">
        <v>19</v>
      </c>
      <c r="C29" s="36">
        <v>10.358281790747482</v>
      </c>
      <c r="D29" s="36">
        <v>12.84916934285436</v>
      </c>
      <c r="E29" s="36">
        <v>9.1815086036459466</v>
      </c>
      <c r="F29" s="36">
        <v>7.0420352859325313</v>
      </c>
      <c r="G29" s="36">
        <v>4.8538080212170298</v>
      </c>
      <c r="H29" s="36">
        <v>8.1202735211623533</v>
      </c>
      <c r="I29" s="11">
        <v>5.3840699999999995</v>
      </c>
      <c r="J29" s="11"/>
      <c r="K29" s="38">
        <v>750.08699999999999</v>
      </c>
      <c r="L29" s="38">
        <v>959.49900000000002</v>
      </c>
      <c r="M29" s="38">
        <v>704.03</v>
      </c>
      <c r="N29" s="38">
        <v>553.55700000000002</v>
      </c>
      <c r="O29" s="38">
        <v>390.66500000000002</v>
      </c>
      <c r="P29" s="38">
        <v>667.70500000000004</v>
      </c>
      <c r="Q29" s="11">
        <v>451.57</v>
      </c>
      <c r="R29" s="11"/>
    </row>
    <row r="30" spans="2:18" x14ac:dyDescent="0.25">
      <c r="B30" s="13" t="s">
        <v>20</v>
      </c>
      <c r="C30" s="36">
        <v>17.880021647678916</v>
      </c>
      <c r="D30" s="36">
        <v>22.010964725210282</v>
      </c>
      <c r="E30" s="36">
        <v>20.603340257426012</v>
      </c>
      <c r="F30" s="36">
        <v>16.528581931018568</v>
      </c>
      <c r="G30" s="36">
        <v>15.405058426720874</v>
      </c>
      <c r="H30" s="36">
        <v>15.108983178377979</v>
      </c>
      <c r="I30" s="11">
        <v>14.2843</v>
      </c>
      <c r="J30" s="11"/>
      <c r="K30" s="38">
        <v>1294.768</v>
      </c>
      <c r="L30" s="38">
        <v>1643.6469999999999</v>
      </c>
      <c r="M30" s="38">
        <v>1579.846</v>
      </c>
      <c r="N30" s="38">
        <v>1299.271</v>
      </c>
      <c r="O30" s="38">
        <v>1239.896</v>
      </c>
      <c r="P30" s="38">
        <v>1242.365</v>
      </c>
      <c r="Q30" s="11">
        <v>1198.048</v>
      </c>
      <c r="R30" s="11"/>
    </row>
    <row r="31" spans="2:18" x14ac:dyDescent="0.25">
      <c r="B31" s="7" t="s">
        <v>21</v>
      </c>
      <c r="C31" s="36"/>
      <c r="D31" s="36"/>
      <c r="E31" s="36"/>
      <c r="F31" s="36"/>
      <c r="G31" s="36"/>
      <c r="H31" s="36"/>
      <c r="I31" s="11"/>
      <c r="J31" s="11"/>
      <c r="K31" s="38"/>
      <c r="L31" s="38"/>
      <c r="M31" s="38"/>
      <c r="N31" s="38"/>
      <c r="O31" s="38"/>
      <c r="P31" s="38"/>
      <c r="Q31" s="11"/>
      <c r="R31" s="11"/>
    </row>
    <row r="32" spans="2:18" ht="15" customHeight="1" x14ac:dyDescent="0.25">
      <c r="B32" s="15" t="s">
        <v>22</v>
      </c>
      <c r="C32" s="36">
        <v>9.6264919201654156</v>
      </c>
      <c r="D32" s="36">
        <v>14.707191966790051</v>
      </c>
      <c r="E32" s="36">
        <v>16.2894018606369</v>
      </c>
      <c r="F32" s="36">
        <v>11.204995246638585</v>
      </c>
      <c r="G32" s="36">
        <v>7.7064304989085715</v>
      </c>
      <c r="H32" s="36">
        <v>8.3379030052327145</v>
      </c>
      <c r="I32" s="11">
        <v>9.8365400000000012</v>
      </c>
      <c r="J32" s="11"/>
      <c r="K32" s="38">
        <v>697.09500000000003</v>
      </c>
      <c r="L32" s="38">
        <v>1098.2449999999999</v>
      </c>
      <c r="M32" s="38">
        <v>1249.057</v>
      </c>
      <c r="N32" s="38">
        <v>880.79700000000003</v>
      </c>
      <c r="O32" s="38">
        <v>620.26199999999994</v>
      </c>
      <c r="P32" s="38">
        <v>685.6</v>
      </c>
      <c r="Q32" s="11">
        <v>825.005</v>
      </c>
      <c r="R32" s="11"/>
    </row>
    <row r="33" spans="1:18" ht="15" customHeight="1" thickBot="1" x14ac:dyDescent="0.3">
      <c r="A33" s="17"/>
      <c r="B33" s="35" t="s">
        <v>23</v>
      </c>
      <c r="C33" s="37">
        <v>42.013758897940363</v>
      </c>
      <c r="D33" s="37">
        <v>43.289532730330137</v>
      </c>
      <c r="E33" s="37">
        <v>47.86921133158544</v>
      </c>
      <c r="F33" s="37">
        <v>43.25030948052941</v>
      </c>
      <c r="G33" s="37">
        <v>39.597787399568304</v>
      </c>
      <c r="H33" s="37">
        <v>36.087541171132422</v>
      </c>
      <c r="I33" s="18">
        <v>41.873800000000003</v>
      </c>
      <c r="J33" s="18"/>
      <c r="K33" s="39">
        <v>3042.3939999999998</v>
      </c>
      <c r="L33" s="39">
        <v>3232.6030000000001</v>
      </c>
      <c r="M33" s="39">
        <v>3670.569</v>
      </c>
      <c r="N33" s="39">
        <v>3399.8</v>
      </c>
      <c r="O33" s="39">
        <v>3187.0790000000002</v>
      </c>
      <c r="P33" s="39">
        <v>2967.3670000000002</v>
      </c>
      <c r="Q33" s="18">
        <v>3512.018</v>
      </c>
      <c r="R33" s="18"/>
    </row>
    <row r="34" spans="1:18" ht="15.75" thickTop="1" x14ac:dyDescent="0.25">
      <c r="B34" s="19" t="s">
        <v>47</v>
      </c>
    </row>
    <row r="35" spans="1:18" x14ac:dyDescent="0.25">
      <c r="B35" s="19" t="s">
        <v>35</v>
      </c>
    </row>
    <row r="36" spans="1:18" x14ac:dyDescent="0.25">
      <c r="B36" s="27"/>
      <c r="C36" s="27"/>
      <c r="D36" s="29"/>
      <c r="E36" s="29"/>
    </row>
    <row r="37" spans="1:18" x14ac:dyDescent="0.25">
      <c r="B37" s="27"/>
      <c r="C37" s="28"/>
      <c r="D37" s="29"/>
      <c r="E37" s="29"/>
    </row>
    <row r="38" spans="1:18" x14ac:dyDescent="0.25">
      <c r="B38" s="80"/>
      <c r="C38" s="80"/>
      <c r="D38" s="80"/>
      <c r="E38" s="80"/>
    </row>
    <row r="39" spans="1:18" x14ac:dyDescent="0.25">
      <c r="B39" s="80"/>
      <c r="C39" s="80"/>
      <c r="D39" s="80"/>
      <c r="E39" s="80"/>
    </row>
  </sheetData>
  <mergeCells count="9">
    <mergeCell ref="B4:R4"/>
    <mergeCell ref="B9:R9"/>
    <mergeCell ref="B10:R10"/>
    <mergeCell ref="B38:E38"/>
    <mergeCell ref="B39:E39"/>
    <mergeCell ref="C12:I12"/>
    <mergeCell ref="K12:Q12"/>
    <mergeCell ref="B11:B13"/>
    <mergeCell ref="C11:R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9C3E9-D50A-4D04-A4CB-D39287E036CB}">
  <dimension ref="A4:R39"/>
  <sheetViews>
    <sheetView topLeftCell="B1" zoomScaleNormal="100" workbookViewId="0">
      <selection activeCell="O39" sqref="O39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10.7109375" style="2" bestFit="1" customWidth="1"/>
    <col min="17" max="17" width="9.4257812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customHeight="1" x14ac:dyDescent="0.25">
      <c r="A9" s="1"/>
      <c r="B9" s="70" t="s">
        <v>54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36">
        <v>43.565631543062558</v>
      </c>
      <c r="D15" s="36">
        <v>42.891414470606819</v>
      </c>
      <c r="E15" s="36">
        <v>45.334379894932276</v>
      </c>
      <c r="F15" s="36">
        <v>49.60000806089527</v>
      </c>
      <c r="G15" s="36">
        <v>47.87582789575842</v>
      </c>
      <c r="H15" s="36">
        <v>42.716003862390536</v>
      </c>
      <c r="I15" s="11">
        <v>50.761699999999998</v>
      </c>
      <c r="J15" s="11"/>
      <c r="K15" s="38">
        <v>6578.1859999999997</v>
      </c>
      <c r="L15" s="38">
        <v>6712.05</v>
      </c>
      <c r="M15" s="38">
        <v>7328.7349999999997</v>
      </c>
      <c r="N15" s="38">
        <v>8269.8520000000008</v>
      </c>
      <c r="O15" s="38">
        <v>8230.2000000000007</v>
      </c>
      <c r="P15" s="38">
        <v>7546.5420000000004</v>
      </c>
      <c r="Q15" s="11">
        <v>9206.1820000000007</v>
      </c>
      <c r="R15" s="11"/>
    </row>
    <row r="16" spans="1:18" ht="15" customHeight="1" x14ac:dyDescent="0.25">
      <c r="B16" s="10" t="s">
        <v>6</v>
      </c>
      <c r="C16" s="36">
        <v>36.635044175347701</v>
      </c>
      <c r="D16" s="36">
        <v>34.320742317560757</v>
      </c>
      <c r="E16" s="36">
        <v>39.48463542578434</v>
      </c>
      <c r="F16" s="36">
        <v>42.361671978420787</v>
      </c>
      <c r="G16" s="36">
        <v>41.727406314138889</v>
      </c>
      <c r="H16" s="36">
        <v>37.815574644364993</v>
      </c>
      <c r="I16" s="11">
        <v>42.4801</v>
      </c>
      <c r="J16" s="11"/>
      <c r="K16" s="38">
        <v>5531.7030000000004</v>
      </c>
      <c r="L16" s="38">
        <v>5370.8310000000001</v>
      </c>
      <c r="M16" s="38">
        <v>6383.0680000000002</v>
      </c>
      <c r="N16" s="38">
        <v>7062.9979999999996</v>
      </c>
      <c r="O16" s="38">
        <v>7173.2420000000002</v>
      </c>
      <c r="P16" s="38">
        <v>6680.7939999999999</v>
      </c>
      <c r="Q16" s="11">
        <v>7704.2280000000001</v>
      </c>
      <c r="R16" s="11"/>
    </row>
    <row r="17" spans="2:18" ht="15" customHeight="1" x14ac:dyDescent="0.25">
      <c r="B17" s="10" t="s">
        <v>7</v>
      </c>
      <c r="C17" s="36">
        <v>6.9305873677148595</v>
      </c>
      <c r="D17" s="36">
        <v>8.5706721530460612</v>
      </c>
      <c r="E17" s="36">
        <v>5.8497444691479394</v>
      </c>
      <c r="F17" s="36">
        <v>7.2383360824744738</v>
      </c>
      <c r="G17" s="36">
        <v>6.1484215816195258</v>
      </c>
      <c r="H17" s="36">
        <v>4.9004292180255389</v>
      </c>
      <c r="I17" s="11">
        <v>8.2815799999999999</v>
      </c>
      <c r="J17" s="11"/>
      <c r="K17" s="38">
        <v>1046.4829999999999</v>
      </c>
      <c r="L17" s="38">
        <v>1341.2190000000001</v>
      </c>
      <c r="M17" s="38">
        <v>945.66700000000003</v>
      </c>
      <c r="N17" s="38">
        <v>1206.854</v>
      </c>
      <c r="O17" s="38">
        <v>1056.9580000000001</v>
      </c>
      <c r="P17" s="38">
        <v>865.74800000000005</v>
      </c>
      <c r="Q17" s="11">
        <v>1501.954</v>
      </c>
      <c r="R17" s="11"/>
    </row>
    <row r="18" spans="2:18" ht="15" customHeight="1" x14ac:dyDescent="0.25">
      <c r="B18" s="10" t="s">
        <v>8</v>
      </c>
      <c r="C18" s="36">
        <v>35.570021096746011</v>
      </c>
      <c r="D18" s="36">
        <v>32.150543653574914</v>
      </c>
      <c r="E18" s="36">
        <v>29.482281095195496</v>
      </c>
      <c r="F18" s="36">
        <v>23.659567281066025</v>
      </c>
      <c r="G18" s="36">
        <v>21.320740415716131</v>
      </c>
      <c r="H18" s="36">
        <v>28.122681559553104</v>
      </c>
      <c r="I18" s="11">
        <v>20.880499999999998</v>
      </c>
      <c r="J18" s="11"/>
      <c r="K18" s="38">
        <v>5370.89</v>
      </c>
      <c r="L18" s="38">
        <v>5031.2179999999998</v>
      </c>
      <c r="M18" s="38">
        <v>4766.0919999999996</v>
      </c>
      <c r="N18" s="38">
        <v>3944.78</v>
      </c>
      <c r="O18" s="38">
        <v>3665.1889999999999</v>
      </c>
      <c r="P18" s="38">
        <v>4968.3720000000003</v>
      </c>
      <c r="Q18" s="11">
        <v>3786.9119999999998</v>
      </c>
      <c r="R18" s="11"/>
    </row>
    <row r="19" spans="2:18" ht="15" customHeight="1" x14ac:dyDescent="0.25">
      <c r="B19" s="10" t="s">
        <v>9</v>
      </c>
      <c r="C19" s="36">
        <v>4.3444395620115515</v>
      </c>
      <c r="D19" s="36">
        <v>5.6155766756282981</v>
      </c>
      <c r="E19" s="36">
        <v>7.8131485466307771</v>
      </c>
      <c r="F19" s="36">
        <v>9.3207340260825138</v>
      </c>
      <c r="G19" s="36">
        <v>9.5631940044864905</v>
      </c>
      <c r="H19" s="36">
        <v>8.724742637013799</v>
      </c>
      <c r="I19" s="11">
        <v>10.0747</v>
      </c>
      <c r="J19" s="11"/>
      <c r="K19" s="38">
        <v>655.98800000000006</v>
      </c>
      <c r="L19" s="38">
        <v>878.77800000000002</v>
      </c>
      <c r="M19" s="38">
        <v>1263.07</v>
      </c>
      <c r="N19" s="38">
        <v>1554.0540000000001</v>
      </c>
      <c r="O19" s="38">
        <v>1643.982</v>
      </c>
      <c r="P19" s="38">
        <v>1541.3810000000001</v>
      </c>
      <c r="Q19" s="11">
        <v>1827.1559999999999</v>
      </c>
      <c r="R19" s="11"/>
    </row>
    <row r="20" spans="2:18" ht="15" customHeight="1" x14ac:dyDescent="0.25">
      <c r="B20" s="10" t="s">
        <v>10</v>
      </c>
      <c r="C20" s="36">
        <v>16.519907798179872</v>
      </c>
      <c r="D20" s="36">
        <v>19.342465200189967</v>
      </c>
      <c r="E20" s="36">
        <v>17.370190463241453</v>
      </c>
      <c r="F20" s="36">
        <v>17.419690631956193</v>
      </c>
      <c r="G20" s="36">
        <v>21.240237684038966</v>
      </c>
      <c r="H20" s="36">
        <v>20.436571941042565</v>
      </c>
      <c r="I20" s="11">
        <v>18.283100000000001</v>
      </c>
      <c r="J20" s="11"/>
      <c r="K20" s="38">
        <v>2494.4209999999998</v>
      </c>
      <c r="L20" s="38">
        <v>3026.89</v>
      </c>
      <c r="M20" s="38">
        <v>2808.0569999999998</v>
      </c>
      <c r="N20" s="38">
        <v>2904.4</v>
      </c>
      <c r="O20" s="38">
        <v>3651.35</v>
      </c>
      <c r="P20" s="38">
        <v>3610.4839999999999</v>
      </c>
      <c r="Q20" s="11">
        <v>3315.8409999999999</v>
      </c>
      <c r="R20" s="11"/>
    </row>
    <row r="21" spans="2:18" x14ac:dyDescent="0.25">
      <c r="B21" s="12" t="s">
        <v>11</v>
      </c>
      <c r="C21" s="36"/>
      <c r="D21" s="36"/>
      <c r="E21" s="36"/>
      <c r="F21" s="36"/>
      <c r="G21" s="36"/>
      <c r="H21" s="36"/>
      <c r="I21" s="11"/>
      <c r="J21" s="11"/>
      <c r="K21" s="38"/>
      <c r="L21" s="38"/>
      <c r="M21" s="38"/>
      <c r="N21" s="38"/>
      <c r="O21" s="38"/>
      <c r="P21" s="38"/>
      <c r="Q21" s="11"/>
      <c r="R21" s="11"/>
    </row>
    <row r="22" spans="2:18" x14ac:dyDescent="0.25">
      <c r="B22" s="13" t="s">
        <v>12</v>
      </c>
      <c r="C22" s="36">
        <v>79.135652639808569</v>
      </c>
      <c r="D22" s="36">
        <v>75.041958124181733</v>
      </c>
      <c r="E22" s="36">
        <v>74.816660990127772</v>
      </c>
      <c r="F22" s="36">
        <v>73.259575341961295</v>
      </c>
      <c r="G22" s="36">
        <v>69.19656831147455</v>
      </c>
      <c r="H22" s="36">
        <v>70.838685421943637</v>
      </c>
      <c r="I22" s="11">
        <v>71.642200000000003</v>
      </c>
      <c r="J22" s="11"/>
      <c r="K22" s="38">
        <v>11949.075999999999</v>
      </c>
      <c r="L22" s="38">
        <v>11743.268</v>
      </c>
      <c r="M22" s="38">
        <v>12094.826999999999</v>
      </c>
      <c r="N22" s="38">
        <v>12214.632</v>
      </c>
      <c r="O22" s="38">
        <v>11895.388999999999</v>
      </c>
      <c r="P22" s="38">
        <v>12514.914000000001</v>
      </c>
      <c r="Q22" s="11">
        <v>12993.093999999999</v>
      </c>
      <c r="R22" s="11"/>
    </row>
    <row r="23" spans="2:18" x14ac:dyDescent="0.25">
      <c r="B23" s="13" t="s">
        <v>13</v>
      </c>
      <c r="C23" s="36">
        <v>29.42977856529544</v>
      </c>
      <c r="D23" s="36">
        <v>26.5793917235012</v>
      </c>
      <c r="E23" s="36">
        <v>17.75257432997768</v>
      </c>
      <c r="F23" s="36">
        <v>17.132953071794869</v>
      </c>
      <c r="G23" s="36">
        <v>15.14214557958331</v>
      </c>
      <c r="H23" s="36">
        <v>15.229782406855264</v>
      </c>
      <c r="I23" s="11">
        <v>18.4375</v>
      </c>
      <c r="J23" s="11"/>
      <c r="K23" s="38">
        <v>4443.7449999999999</v>
      </c>
      <c r="L23" s="38">
        <v>4159.3919999999998</v>
      </c>
      <c r="M23" s="38">
        <v>2869.873</v>
      </c>
      <c r="N23" s="38">
        <v>2856.5920000000001</v>
      </c>
      <c r="O23" s="38">
        <v>2603.0439999999999</v>
      </c>
      <c r="P23" s="38">
        <v>2690.6120000000001</v>
      </c>
      <c r="Q23" s="11">
        <v>3343.8330000000001</v>
      </c>
      <c r="R23" s="11"/>
    </row>
    <row r="24" spans="2:18" x14ac:dyDescent="0.25">
      <c r="B24" s="14" t="s">
        <v>14</v>
      </c>
      <c r="C24" s="36"/>
      <c r="D24" s="36"/>
      <c r="E24" s="36"/>
      <c r="F24" s="36"/>
      <c r="G24" s="36"/>
      <c r="H24" s="36"/>
      <c r="I24" s="11"/>
      <c r="J24" s="11"/>
      <c r="K24" s="38"/>
      <c r="L24" s="38"/>
      <c r="M24" s="38"/>
      <c r="N24" s="38"/>
      <c r="O24" s="38"/>
      <c r="P24" s="38"/>
      <c r="Q24" s="11"/>
      <c r="R24" s="11"/>
    </row>
    <row r="25" spans="2:18" x14ac:dyDescent="0.25">
      <c r="B25" s="15" t="s">
        <v>15</v>
      </c>
      <c r="C25" s="36">
        <v>18.719790774321112</v>
      </c>
      <c r="D25" s="36">
        <v>18.511578039554895</v>
      </c>
      <c r="E25" s="36">
        <v>15.419430242100157</v>
      </c>
      <c r="F25" s="36">
        <v>15.297575985633374</v>
      </c>
      <c r="G25" s="36">
        <v>13.740622048371328</v>
      </c>
      <c r="H25" s="36">
        <v>12.860131436522753</v>
      </c>
      <c r="I25" s="11">
        <v>11.2719</v>
      </c>
      <c r="J25" s="11"/>
      <c r="K25" s="38">
        <v>2826.5920000000001</v>
      </c>
      <c r="L25" s="38">
        <v>2896.8649999999998</v>
      </c>
      <c r="M25" s="38">
        <v>2492.6979999999999</v>
      </c>
      <c r="N25" s="38">
        <v>2550.578</v>
      </c>
      <c r="O25" s="38">
        <v>2362.1120000000001</v>
      </c>
      <c r="P25" s="38">
        <v>2271.971</v>
      </c>
      <c r="Q25" s="11">
        <v>2044.2750000000001</v>
      </c>
      <c r="R25" s="11"/>
    </row>
    <row r="26" spans="2:18" x14ac:dyDescent="0.25">
      <c r="B26" s="13" t="s">
        <v>16</v>
      </c>
      <c r="C26" s="36">
        <v>42.580160846545425</v>
      </c>
      <c r="D26" s="36">
        <v>30.720523107769115</v>
      </c>
      <c r="E26" s="36">
        <v>25.347535938800764</v>
      </c>
      <c r="F26" s="36">
        <v>19.674498170284732</v>
      </c>
      <c r="G26" s="36">
        <v>15.521454859281352</v>
      </c>
      <c r="H26" s="36">
        <v>19.753985715222903</v>
      </c>
      <c r="I26" s="11">
        <v>34.236400000000003</v>
      </c>
      <c r="J26" s="11"/>
      <c r="K26" s="38">
        <v>6429.3850000000002</v>
      </c>
      <c r="L26" s="38">
        <v>4807.4350000000004</v>
      </c>
      <c r="M26" s="38">
        <v>4097.6710000000003</v>
      </c>
      <c r="N26" s="38">
        <v>3280.346</v>
      </c>
      <c r="O26" s="38">
        <v>2668.25</v>
      </c>
      <c r="P26" s="38">
        <v>3489.893</v>
      </c>
      <c r="Q26" s="11">
        <v>6209.1360000000004</v>
      </c>
      <c r="R26" s="11"/>
    </row>
    <row r="27" spans="2:18" x14ac:dyDescent="0.25">
      <c r="B27" s="13" t="s">
        <v>17</v>
      </c>
      <c r="C27" s="36">
        <v>68.263778532844</v>
      </c>
      <c r="D27" s="36">
        <v>59.016919744575603</v>
      </c>
      <c r="E27" s="36">
        <v>64.756351527413727</v>
      </c>
      <c r="F27" s="36">
        <v>60.628374375325599</v>
      </c>
      <c r="G27" s="36">
        <v>55.466405393933158</v>
      </c>
      <c r="H27" s="36">
        <v>59.215831023866883</v>
      </c>
      <c r="I27" s="11">
        <v>59.940599999999996</v>
      </c>
      <c r="J27" s="11"/>
      <c r="K27" s="38">
        <v>10307.478999999999</v>
      </c>
      <c r="L27" s="38">
        <v>9235.52</v>
      </c>
      <c r="M27" s="38">
        <v>10468.482</v>
      </c>
      <c r="N27" s="38">
        <v>10108.620999999999</v>
      </c>
      <c r="O27" s="38">
        <v>9535.0750000000007</v>
      </c>
      <c r="P27" s="38">
        <v>10461.530000000001</v>
      </c>
      <c r="Q27" s="11">
        <v>10870.874</v>
      </c>
      <c r="R27" s="11"/>
    </row>
    <row r="28" spans="2:18" x14ac:dyDescent="0.25">
      <c r="B28" s="13" t="s">
        <v>18</v>
      </c>
      <c r="C28" s="36">
        <v>14.394252519208436</v>
      </c>
      <c r="D28" s="36">
        <v>12.918002859747141</v>
      </c>
      <c r="E28" s="36">
        <v>10.202095094418802</v>
      </c>
      <c r="F28" s="36">
        <v>10.290662448451354</v>
      </c>
      <c r="G28" s="36">
        <v>12.645252051964546</v>
      </c>
      <c r="H28" s="36">
        <v>9.6480575208418013</v>
      </c>
      <c r="I28" s="11">
        <v>7.1897400000000005</v>
      </c>
      <c r="J28" s="11"/>
      <c r="K28" s="38">
        <v>2173.4580000000001</v>
      </c>
      <c r="L28" s="38">
        <v>2021.53</v>
      </c>
      <c r="M28" s="38">
        <v>1649.2660000000001</v>
      </c>
      <c r="N28" s="38">
        <v>1715.771</v>
      </c>
      <c r="O28" s="38">
        <v>2173.81</v>
      </c>
      <c r="P28" s="38">
        <v>1704.501</v>
      </c>
      <c r="Q28" s="11">
        <v>1303.9369999999999</v>
      </c>
      <c r="R28" s="11"/>
    </row>
    <row r="29" spans="2:18" x14ac:dyDescent="0.25">
      <c r="B29" s="13" t="s">
        <v>19</v>
      </c>
      <c r="C29" s="36">
        <v>17.257992573918912</v>
      </c>
      <c r="D29" s="36">
        <v>15.908135863038867</v>
      </c>
      <c r="E29" s="36">
        <v>11.529854656273301</v>
      </c>
      <c r="F29" s="36">
        <v>12.361160975238777</v>
      </c>
      <c r="G29" s="36">
        <v>11.700969377607837</v>
      </c>
      <c r="H29" s="36">
        <v>10.331272044553225</v>
      </c>
      <c r="I29" s="11">
        <v>9.8796400000000002</v>
      </c>
      <c r="J29" s="11"/>
      <c r="K29" s="38">
        <v>2605.8679999999999</v>
      </c>
      <c r="L29" s="38">
        <v>2489.4540000000002</v>
      </c>
      <c r="M29" s="38">
        <v>1863.9110000000001</v>
      </c>
      <c r="N29" s="38">
        <v>2060.9870000000001</v>
      </c>
      <c r="O29" s="38">
        <v>2011.481</v>
      </c>
      <c r="P29" s="38">
        <v>1825.203</v>
      </c>
      <c r="Q29" s="11">
        <v>1791.7809999999999</v>
      </c>
      <c r="R29" s="11"/>
    </row>
    <row r="30" spans="2:18" x14ac:dyDescent="0.25">
      <c r="B30" s="13" t="s">
        <v>20</v>
      </c>
      <c r="C30" s="36">
        <v>21.204663602765258</v>
      </c>
      <c r="D30" s="36">
        <v>31.560791097874002</v>
      </c>
      <c r="E30" s="36">
        <v>17.679389660517405</v>
      </c>
      <c r="F30" s="36">
        <v>21.293526585300405</v>
      </c>
      <c r="G30" s="36">
        <v>20.782921204991926</v>
      </c>
      <c r="H30" s="36">
        <v>19.844245518665289</v>
      </c>
      <c r="I30" s="11">
        <v>21.428699999999999</v>
      </c>
      <c r="J30" s="11"/>
      <c r="K30" s="38">
        <v>3201.7950000000001</v>
      </c>
      <c r="L30" s="38">
        <v>4938.9279999999999</v>
      </c>
      <c r="M30" s="38">
        <v>2858.0419999999999</v>
      </c>
      <c r="N30" s="38">
        <v>3550.288</v>
      </c>
      <c r="O30" s="38">
        <v>3572.7339999999999</v>
      </c>
      <c r="P30" s="38">
        <v>3505.8389999999999</v>
      </c>
      <c r="Q30" s="11">
        <v>3886.3339999999998</v>
      </c>
      <c r="R30" s="11"/>
    </row>
    <row r="31" spans="2:18" x14ac:dyDescent="0.25">
      <c r="B31" s="7" t="s">
        <v>21</v>
      </c>
      <c r="C31" s="36"/>
      <c r="D31" s="36"/>
      <c r="E31" s="36"/>
      <c r="F31" s="36"/>
      <c r="G31" s="36"/>
      <c r="H31" s="36"/>
      <c r="I31" s="11"/>
      <c r="J31" s="11"/>
      <c r="K31" s="38"/>
      <c r="L31" s="38"/>
      <c r="M31" s="38"/>
      <c r="N31" s="38"/>
      <c r="O31" s="38"/>
      <c r="P31" s="38"/>
      <c r="Q31" s="11"/>
      <c r="R31" s="11"/>
    </row>
    <row r="32" spans="2:18" ht="15" customHeight="1" x14ac:dyDescent="0.25">
      <c r="B32" s="15" t="s">
        <v>22</v>
      </c>
      <c r="C32" s="36">
        <v>11.20309070143783</v>
      </c>
      <c r="D32" s="36">
        <v>14.45041375336956</v>
      </c>
      <c r="E32" s="36">
        <v>15.946983394855632</v>
      </c>
      <c r="F32" s="36">
        <v>20.07324858757401</v>
      </c>
      <c r="G32" s="36">
        <v>16.810382764050445</v>
      </c>
      <c r="H32" s="36">
        <v>13.828746032312964</v>
      </c>
      <c r="I32" s="11">
        <v>22.9955</v>
      </c>
      <c r="J32" s="11"/>
      <c r="K32" s="38">
        <v>1691.6089999999999</v>
      </c>
      <c r="L32" s="38">
        <v>2261.3359999999998</v>
      </c>
      <c r="M32" s="38">
        <v>2577.982</v>
      </c>
      <c r="N32" s="38">
        <v>3346.83</v>
      </c>
      <c r="O32" s="38">
        <v>2889.826</v>
      </c>
      <c r="P32" s="38">
        <v>2443.0940000000001</v>
      </c>
      <c r="Q32" s="11">
        <v>4170.4799999999996</v>
      </c>
      <c r="R32" s="11"/>
    </row>
    <row r="33" spans="1:18" ht="15" customHeight="1" thickBot="1" x14ac:dyDescent="0.3">
      <c r="A33" s="17"/>
      <c r="B33" s="35" t="s">
        <v>23</v>
      </c>
      <c r="C33" s="37">
        <v>47.910071105074117</v>
      </c>
      <c r="D33" s="37">
        <v>48.506991146235116</v>
      </c>
      <c r="E33" s="37">
        <v>53.147528441563054</v>
      </c>
      <c r="F33" s="37">
        <v>58.920742086977782</v>
      </c>
      <c r="G33" s="37">
        <v>57.439021900244903</v>
      </c>
      <c r="H33" s="37">
        <v>51.440746499404334</v>
      </c>
      <c r="I33" s="18">
        <v>60.836400000000005</v>
      </c>
      <c r="J33" s="18"/>
      <c r="K33" s="39">
        <v>7234.174</v>
      </c>
      <c r="L33" s="39">
        <v>7590.8280000000004</v>
      </c>
      <c r="M33" s="39">
        <v>8591.8050000000003</v>
      </c>
      <c r="N33" s="39">
        <v>9823.9060000000009</v>
      </c>
      <c r="O33" s="39">
        <v>9874.1820000000007</v>
      </c>
      <c r="P33" s="39">
        <v>9087.9230000000007</v>
      </c>
      <c r="Q33" s="18">
        <v>11033.338</v>
      </c>
      <c r="R33" s="18"/>
    </row>
    <row r="34" spans="1:18" ht="15.75" thickTop="1" x14ac:dyDescent="0.25">
      <c r="B34" s="19" t="s">
        <v>47</v>
      </c>
    </row>
    <row r="35" spans="1:18" x14ac:dyDescent="0.25">
      <c r="B35" s="19" t="s">
        <v>35</v>
      </c>
    </row>
    <row r="36" spans="1:18" x14ac:dyDescent="0.25">
      <c r="B36" s="27"/>
      <c r="C36" s="27"/>
      <c r="D36" s="29"/>
      <c r="E36" s="29"/>
    </row>
    <row r="37" spans="1:18" x14ac:dyDescent="0.25">
      <c r="B37" s="27"/>
      <c r="C37" s="28"/>
      <c r="D37" s="29"/>
      <c r="E37" s="29"/>
    </row>
    <row r="38" spans="1:18" x14ac:dyDescent="0.25">
      <c r="B38" s="80"/>
      <c r="C38" s="80"/>
      <c r="D38" s="80"/>
      <c r="E38" s="80"/>
    </row>
    <row r="39" spans="1:18" x14ac:dyDescent="0.25">
      <c r="B39" s="80"/>
      <c r="C39" s="80"/>
      <c r="D39" s="80"/>
      <c r="E39" s="80"/>
    </row>
  </sheetData>
  <mergeCells count="9">
    <mergeCell ref="B4:R4"/>
    <mergeCell ref="B9:R9"/>
    <mergeCell ref="B10:R10"/>
    <mergeCell ref="B38:E38"/>
    <mergeCell ref="B39:E39"/>
    <mergeCell ref="C12:I12"/>
    <mergeCell ref="K12:Q12"/>
    <mergeCell ref="B11:B13"/>
    <mergeCell ref="C11:R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997A4-3AF6-4849-9C89-D92838BEAE26}">
  <dimension ref="A4:R39"/>
  <sheetViews>
    <sheetView zoomScaleNormal="100" workbookViewId="0">
      <selection activeCell="Z26" sqref="Z26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9.7109375" style="2" bestFit="1" customWidth="1"/>
    <col min="17" max="17" width="8.4257812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customHeight="1" x14ac:dyDescent="0.25">
      <c r="A9" s="1"/>
      <c r="B9" s="70" t="s">
        <v>55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36">
        <v>55.472533115416681</v>
      </c>
      <c r="D15" s="36">
        <v>54.72822304055439</v>
      </c>
      <c r="E15" s="36">
        <v>54.366622702955311</v>
      </c>
      <c r="F15" s="36">
        <v>59.247331702296833</v>
      </c>
      <c r="G15" s="36">
        <v>55.337951691208843</v>
      </c>
      <c r="H15" s="36">
        <v>46.044515362029678</v>
      </c>
      <c r="I15" s="11">
        <v>45.561700000000002</v>
      </c>
      <c r="J15" s="11"/>
      <c r="K15" s="38">
        <v>2411.1779999999999</v>
      </c>
      <c r="L15" s="38">
        <v>2424.8389999999999</v>
      </c>
      <c r="M15" s="38">
        <v>2447.6930000000002</v>
      </c>
      <c r="N15" s="38">
        <v>2708.6309999999999</v>
      </c>
      <c r="O15" s="38">
        <v>2565.8620000000001</v>
      </c>
      <c r="P15" s="38">
        <v>2161.9180000000001</v>
      </c>
      <c r="Q15" s="11">
        <v>2163.6089999999999</v>
      </c>
      <c r="R15" s="11"/>
    </row>
    <row r="16" spans="1:18" ht="15" customHeight="1" x14ac:dyDescent="0.25">
      <c r="B16" s="10" t="s">
        <v>6</v>
      </c>
      <c r="C16" s="36">
        <v>40.083550053650931</v>
      </c>
      <c r="D16" s="36">
        <v>41.232385370050544</v>
      </c>
      <c r="E16" s="36">
        <v>39.92150056483522</v>
      </c>
      <c r="F16" s="36">
        <v>45.207782165851697</v>
      </c>
      <c r="G16" s="36">
        <v>45.948908202858362</v>
      </c>
      <c r="H16" s="36">
        <v>39.98836703598807</v>
      </c>
      <c r="I16" s="11">
        <v>37.153999999999996</v>
      </c>
      <c r="J16" s="11"/>
      <c r="K16" s="38">
        <v>1742.278</v>
      </c>
      <c r="L16" s="38">
        <v>1826.88</v>
      </c>
      <c r="M16" s="38">
        <v>1797.345</v>
      </c>
      <c r="N16" s="38">
        <v>2066.7800000000002</v>
      </c>
      <c r="O16" s="38">
        <v>2130.5189999999998</v>
      </c>
      <c r="P16" s="38">
        <v>1877.5650000000001</v>
      </c>
      <c r="Q16" s="11">
        <v>1764.3489999999999</v>
      </c>
      <c r="R16" s="11"/>
    </row>
    <row r="17" spans="2:18" ht="15" customHeight="1" x14ac:dyDescent="0.25">
      <c r="B17" s="10" t="s">
        <v>7</v>
      </c>
      <c r="C17" s="36">
        <v>15.388983061765751</v>
      </c>
      <c r="D17" s="36">
        <v>13.495837670503841</v>
      </c>
      <c r="E17" s="36">
        <v>14.445122138120093</v>
      </c>
      <c r="F17" s="36">
        <v>14.039549536445135</v>
      </c>
      <c r="G17" s="36">
        <v>9.3890434883504756</v>
      </c>
      <c r="H17" s="36">
        <v>6.05614832604161</v>
      </c>
      <c r="I17" s="11">
        <v>8.4077000000000002</v>
      </c>
      <c r="J17" s="11"/>
      <c r="K17" s="38">
        <v>668.9</v>
      </c>
      <c r="L17" s="38">
        <v>597.95899999999995</v>
      </c>
      <c r="M17" s="38">
        <v>650.34799999999996</v>
      </c>
      <c r="N17" s="38">
        <v>641.851</v>
      </c>
      <c r="O17" s="38">
        <v>435.34300000000002</v>
      </c>
      <c r="P17" s="38">
        <v>284.35300000000001</v>
      </c>
      <c r="Q17" s="11">
        <v>399.26</v>
      </c>
      <c r="R17" s="11"/>
    </row>
    <row r="18" spans="2:18" ht="15" customHeight="1" x14ac:dyDescent="0.25">
      <c r="B18" s="10" t="s">
        <v>8</v>
      </c>
      <c r="C18" s="36">
        <v>31.406869159824563</v>
      </c>
      <c r="D18" s="36">
        <v>28.645638198276931</v>
      </c>
      <c r="E18" s="36">
        <v>30.674128503455421</v>
      </c>
      <c r="F18" s="36">
        <v>24.989199942691343</v>
      </c>
      <c r="G18" s="36">
        <v>27.822597603086496</v>
      </c>
      <c r="H18" s="36">
        <v>34.809099695481287</v>
      </c>
      <c r="I18" s="11">
        <v>34.963699999999996</v>
      </c>
      <c r="J18" s="11"/>
      <c r="K18" s="38">
        <v>1365.136</v>
      </c>
      <c r="L18" s="38">
        <v>1269.2</v>
      </c>
      <c r="M18" s="38">
        <v>1381.01</v>
      </c>
      <c r="N18" s="38">
        <v>1142.44</v>
      </c>
      <c r="O18" s="38">
        <v>1290.0540000000001</v>
      </c>
      <c r="P18" s="38">
        <v>1634.384</v>
      </c>
      <c r="Q18" s="11">
        <v>1660.336</v>
      </c>
      <c r="R18" s="11"/>
    </row>
    <row r="19" spans="2:18" ht="15" customHeight="1" x14ac:dyDescent="0.25">
      <c r="B19" s="10" t="s">
        <v>9</v>
      </c>
      <c r="C19" s="36">
        <v>2.5223530212928864</v>
      </c>
      <c r="D19" s="36">
        <v>4.3455288699823864</v>
      </c>
      <c r="E19" s="36">
        <v>3.5016674077861527</v>
      </c>
      <c r="F19" s="36">
        <v>4.0777516632088258</v>
      </c>
      <c r="G19" s="36">
        <v>4.7297945764596605</v>
      </c>
      <c r="H19" s="36">
        <v>4.8698713899368684</v>
      </c>
      <c r="I19" s="11">
        <v>4.8203100000000001</v>
      </c>
      <c r="J19" s="11"/>
      <c r="K19" s="38">
        <v>109.637</v>
      </c>
      <c r="L19" s="38">
        <v>192.53700000000001</v>
      </c>
      <c r="M19" s="38">
        <v>157.65199999999999</v>
      </c>
      <c r="N19" s="38">
        <v>186.42400000000001</v>
      </c>
      <c r="O19" s="38">
        <v>219.30699999999999</v>
      </c>
      <c r="P19" s="38">
        <v>228.654</v>
      </c>
      <c r="Q19" s="11">
        <v>228.904</v>
      </c>
      <c r="R19" s="11"/>
    </row>
    <row r="20" spans="2:18" ht="15" customHeight="1" x14ac:dyDescent="0.25">
      <c r="B20" s="10" t="s">
        <v>10</v>
      </c>
      <c r="C20" s="36">
        <v>10.598244703465868</v>
      </c>
      <c r="D20" s="36">
        <v>12.280609891186298</v>
      </c>
      <c r="E20" s="36">
        <v>11.457581385803111</v>
      </c>
      <c r="F20" s="36">
        <v>11.685716691803002</v>
      </c>
      <c r="G20" s="36">
        <v>12.109656129245005</v>
      </c>
      <c r="H20" s="36">
        <v>14.276513552552158</v>
      </c>
      <c r="I20" s="11">
        <v>14.654300000000001</v>
      </c>
      <c r="J20" s="11"/>
      <c r="K20" s="38">
        <v>460.66500000000002</v>
      </c>
      <c r="L20" s="38">
        <v>544.11599999999999</v>
      </c>
      <c r="M20" s="38">
        <v>515.84299999999996</v>
      </c>
      <c r="N20" s="38">
        <v>534.24</v>
      </c>
      <c r="O20" s="38">
        <v>561.49</v>
      </c>
      <c r="P20" s="38">
        <v>670.322</v>
      </c>
      <c r="Q20" s="11">
        <v>695.89499999999998</v>
      </c>
      <c r="R20" s="11"/>
    </row>
    <row r="21" spans="2:18" x14ac:dyDescent="0.25">
      <c r="B21" s="12" t="s">
        <v>11</v>
      </c>
      <c r="C21" s="36"/>
      <c r="D21" s="36"/>
      <c r="E21" s="36"/>
      <c r="F21" s="36"/>
      <c r="G21" s="36"/>
      <c r="H21" s="36"/>
      <c r="I21" s="11"/>
      <c r="J21" s="11"/>
      <c r="K21" s="38"/>
      <c r="L21" s="38"/>
      <c r="M21" s="38"/>
      <c r="N21" s="38"/>
      <c r="O21" s="38"/>
      <c r="P21" s="38"/>
      <c r="Q21" s="11"/>
      <c r="R21" s="11"/>
    </row>
    <row r="22" spans="2:18" x14ac:dyDescent="0.25">
      <c r="B22" s="13" t="s">
        <v>12</v>
      </c>
      <c r="C22" s="36">
        <v>86.879402275241247</v>
      </c>
      <c r="D22" s="36">
        <v>83.37386123883131</v>
      </c>
      <c r="E22" s="36">
        <v>85.040751206410732</v>
      </c>
      <c r="F22" s="36">
        <v>84.236531644988176</v>
      </c>
      <c r="G22" s="36">
        <v>83.160549294295336</v>
      </c>
      <c r="H22" s="36">
        <v>80.853615057510979</v>
      </c>
      <c r="I22" s="11">
        <v>80.525400000000005</v>
      </c>
      <c r="J22" s="11"/>
      <c r="K22" s="38">
        <v>3776.3139999999999</v>
      </c>
      <c r="L22" s="38">
        <v>3694.0390000000002</v>
      </c>
      <c r="M22" s="38">
        <v>3828.703</v>
      </c>
      <c r="N22" s="38">
        <v>3851.0709999999999</v>
      </c>
      <c r="O22" s="38">
        <v>3855.9160000000002</v>
      </c>
      <c r="P22" s="38">
        <v>3796.3020000000001</v>
      </c>
      <c r="Q22" s="11">
        <v>3823.9450000000002</v>
      </c>
      <c r="R22" s="11"/>
    </row>
    <row r="23" spans="2:18" x14ac:dyDescent="0.25">
      <c r="B23" s="13" t="s">
        <v>13</v>
      </c>
      <c r="C23" s="36">
        <v>47.145618568559996</v>
      </c>
      <c r="D23" s="36">
        <v>40.292780450548129</v>
      </c>
      <c r="E23" s="36">
        <v>36.634128485686325</v>
      </c>
      <c r="F23" s="36">
        <v>35.116952316790019</v>
      </c>
      <c r="G23" s="36">
        <v>28.479614761577871</v>
      </c>
      <c r="H23" s="36">
        <v>22.619491327244095</v>
      </c>
      <c r="I23" s="11">
        <v>28.176400000000001</v>
      </c>
      <c r="J23" s="11"/>
      <c r="K23" s="38">
        <v>2049.239</v>
      </c>
      <c r="L23" s="38">
        <v>1785.249</v>
      </c>
      <c r="M23" s="38">
        <v>1649.3409999999999</v>
      </c>
      <c r="N23" s="38">
        <v>1605.454</v>
      </c>
      <c r="O23" s="38">
        <v>1320.518</v>
      </c>
      <c r="P23" s="38">
        <v>1062.048</v>
      </c>
      <c r="Q23" s="11">
        <v>1338.027</v>
      </c>
      <c r="R23" s="11"/>
    </row>
    <row r="24" spans="2:18" x14ac:dyDescent="0.25">
      <c r="B24" s="14" t="s">
        <v>14</v>
      </c>
      <c r="C24" s="36"/>
      <c r="D24" s="36"/>
      <c r="E24" s="36"/>
      <c r="F24" s="36"/>
      <c r="G24" s="36"/>
      <c r="H24" s="36"/>
      <c r="I24" s="11"/>
      <c r="J24" s="11"/>
      <c r="K24" s="38"/>
      <c r="L24" s="38"/>
      <c r="M24" s="38"/>
      <c r="N24" s="38"/>
      <c r="O24" s="38"/>
      <c r="P24" s="38"/>
      <c r="Q24" s="11"/>
      <c r="R24" s="11"/>
    </row>
    <row r="25" spans="2:18" x14ac:dyDescent="0.25">
      <c r="B25" s="15" t="s">
        <v>15</v>
      </c>
      <c r="C25" s="36">
        <v>31.866652126619883</v>
      </c>
      <c r="D25" s="36">
        <v>30.588066153097532</v>
      </c>
      <c r="E25" s="36">
        <v>26.112512155173984</v>
      </c>
      <c r="F25" s="36">
        <v>27.567345876346728</v>
      </c>
      <c r="G25" s="36">
        <v>27.354097611821132</v>
      </c>
      <c r="H25" s="36">
        <v>24.158590822524246</v>
      </c>
      <c r="I25" s="11">
        <v>25.758099999999999</v>
      </c>
      <c r="J25" s="11"/>
      <c r="K25" s="38">
        <v>1385.1210000000001</v>
      </c>
      <c r="L25" s="38">
        <v>1355.2629999999999</v>
      </c>
      <c r="M25" s="38">
        <v>1175.6369999999999</v>
      </c>
      <c r="N25" s="38">
        <v>1260.306</v>
      </c>
      <c r="O25" s="38">
        <v>1268.3309999999999</v>
      </c>
      <c r="P25" s="38">
        <v>1134.3130000000001</v>
      </c>
      <c r="Q25" s="11">
        <v>1223.1880000000001</v>
      </c>
      <c r="R25" s="11"/>
    </row>
    <row r="26" spans="2:18" x14ac:dyDescent="0.25">
      <c r="B26" s="13" t="s">
        <v>16</v>
      </c>
      <c r="C26" s="36">
        <v>55.61719737837435</v>
      </c>
      <c r="D26" s="36">
        <v>38.248585096865227</v>
      </c>
      <c r="E26" s="36">
        <v>28.563270651357403</v>
      </c>
      <c r="F26" s="36">
        <v>26.208102613121714</v>
      </c>
      <c r="G26" s="36">
        <v>22.776458236686203</v>
      </c>
      <c r="H26" s="36">
        <v>21.194399990799269</v>
      </c>
      <c r="I26" s="11">
        <v>38.656100000000002</v>
      </c>
      <c r="J26" s="11"/>
      <c r="K26" s="38">
        <v>2417.4659999999999</v>
      </c>
      <c r="L26" s="38">
        <v>1694.6769999999999</v>
      </c>
      <c r="M26" s="38">
        <v>1285.9749999999999</v>
      </c>
      <c r="N26" s="38">
        <v>1198.165</v>
      </c>
      <c r="O26" s="38">
        <v>1056.079</v>
      </c>
      <c r="P26" s="38">
        <v>995.13599999999997</v>
      </c>
      <c r="Q26" s="11">
        <v>1835.681</v>
      </c>
      <c r="R26" s="11"/>
    </row>
    <row r="27" spans="2:18" x14ac:dyDescent="0.25">
      <c r="B27" s="13" t="s">
        <v>17</v>
      </c>
      <c r="C27" s="36">
        <v>77.367819011387255</v>
      </c>
      <c r="D27" s="36">
        <v>72.243410284443158</v>
      </c>
      <c r="E27" s="36">
        <v>71.645582890845759</v>
      </c>
      <c r="F27" s="36">
        <v>71.264060580939187</v>
      </c>
      <c r="G27" s="36">
        <v>68.867385149781754</v>
      </c>
      <c r="H27" s="36">
        <v>69.477270568430669</v>
      </c>
      <c r="I27" s="11">
        <v>66.945300000000003</v>
      </c>
      <c r="J27" s="11"/>
      <c r="K27" s="38">
        <v>3362.8820000000001</v>
      </c>
      <c r="L27" s="38">
        <v>3200.8829999999998</v>
      </c>
      <c r="M27" s="38">
        <v>3225.6260000000002</v>
      </c>
      <c r="N27" s="38">
        <v>3258.0039999999999</v>
      </c>
      <c r="O27" s="38">
        <v>3193.183</v>
      </c>
      <c r="P27" s="38">
        <v>3262.1509999999998</v>
      </c>
      <c r="Q27" s="11">
        <v>3179.0590000000002</v>
      </c>
      <c r="R27" s="11"/>
    </row>
    <row r="28" spans="2:18" x14ac:dyDescent="0.25">
      <c r="B28" s="13" t="s">
        <v>18</v>
      </c>
      <c r="C28" s="36">
        <v>22.504173361529979</v>
      </c>
      <c r="D28" s="36">
        <v>22.390565627220308</v>
      </c>
      <c r="E28" s="36">
        <v>21.068553626473115</v>
      </c>
      <c r="F28" s="36">
        <v>15.435409095234084</v>
      </c>
      <c r="G28" s="36">
        <v>14.811225107096343</v>
      </c>
      <c r="H28" s="36">
        <v>12.686064595110235</v>
      </c>
      <c r="I28" s="11">
        <v>11.607799999999999</v>
      </c>
      <c r="J28" s="11"/>
      <c r="K28" s="38">
        <v>978.17</v>
      </c>
      <c r="L28" s="38">
        <v>992.05700000000002</v>
      </c>
      <c r="M28" s="38">
        <v>948.548</v>
      </c>
      <c r="N28" s="38">
        <v>705.66600000000005</v>
      </c>
      <c r="O28" s="38">
        <v>686.75400000000002</v>
      </c>
      <c r="P28" s="38">
        <v>595.64599999999996</v>
      </c>
      <c r="Q28" s="11">
        <v>551.22500000000002</v>
      </c>
      <c r="R28" s="11"/>
    </row>
    <row r="29" spans="2:18" x14ac:dyDescent="0.25">
      <c r="B29" s="13" t="s">
        <v>19</v>
      </c>
      <c r="C29" s="36">
        <v>26.878495822957444</v>
      </c>
      <c r="D29" s="36">
        <v>27.205298856250899</v>
      </c>
      <c r="E29" s="36">
        <v>30.41592129000102</v>
      </c>
      <c r="F29" s="36">
        <v>26.564553719758472</v>
      </c>
      <c r="G29" s="36">
        <v>24.473910720805879</v>
      </c>
      <c r="H29" s="36">
        <v>17.670859957599955</v>
      </c>
      <c r="I29" s="11">
        <v>16.916999999999998</v>
      </c>
      <c r="J29" s="11"/>
      <c r="K29" s="38">
        <v>1168.3050000000001</v>
      </c>
      <c r="L29" s="38">
        <v>1205.383</v>
      </c>
      <c r="M29" s="38">
        <v>1369.385</v>
      </c>
      <c r="N29" s="38">
        <v>1214.461</v>
      </c>
      <c r="O29" s="38">
        <v>1134.7850000000001</v>
      </c>
      <c r="P29" s="38">
        <v>829.69600000000003</v>
      </c>
      <c r="Q29" s="11">
        <v>803.34500000000003</v>
      </c>
      <c r="R29" s="11"/>
    </row>
    <row r="30" spans="2:18" x14ac:dyDescent="0.25">
      <c r="B30" s="13" t="s">
        <v>20</v>
      </c>
      <c r="C30" s="36">
        <v>31.830831156927598</v>
      </c>
      <c r="D30" s="36">
        <v>28.842379474808901</v>
      </c>
      <c r="E30" s="36">
        <v>32.217996631867365</v>
      </c>
      <c r="F30" s="36">
        <v>34.661545343288708</v>
      </c>
      <c r="G30" s="36">
        <v>25.924291626417251</v>
      </c>
      <c r="H30" s="36">
        <v>21.058433600736741</v>
      </c>
      <c r="I30" s="11">
        <v>21.448700000000002</v>
      </c>
      <c r="J30" s="11"/>
      <c r="K30" s="38">
        <v>1383.5640000000001</v>
      </c>
      <c r="L30" s="38">
        <v>1277.9169999999999</v>
      </c>
      <c r="M30" s="38">
        <v>1450.518</v>
      </c>
      <c r="N30" s="38">
        <v>1584.634</v>
      </c>
      <c r="O30" s="38">
        <v>1202.0350000000001</v>
      </c>
      <c r="P30" s="38">
        <v>988.75199999999995</v>
      </c>
      <c r="Q30" s="11">
        <v>1018.544</v>
      </c>
      <c r="R30" s="11"/>
    </row>
    <row r="31" spans="2:18" x14ac:dyDescent="0.25">
      <c r="B31" s="7" t="s">
        <v>21</v>
      </c>
      <c r="C31" s="36"/>
      <c r="D31" s="36"/>
      <c r="E31" s="36"/>
      <c r="F31" s="36"/>
      <c r="G31" s="36"/>
      <c r="H31" s="36"/>
      <c r="I31" s="11"/>
      <c r="J31" s="11"/>
      <c r="K31" s="38"/>
      <c r="L31" s="38"/>
      <c r="M31" s="38"/>
      <c r="N31" s="38"/>
      <c r="O31" s="38"/>
      <c r="P31" s="38"/>
      <c r="Q31" s="11"/>
      <c r="R31" s="11"/>
    </row>
    <row r="32" spans="2:18" ht="15" customHeight="1" x14ac:dyDescent="0.25">
      <c r="B32" s="15" t="s">
        <v>22</v>
      </c>
      <c r="C32" s="36">
        <v>22.186086831686996</v>
      </c>
      <c r="D32" s="36">
        <v>21.599018844009017</v>
      </c>
      <c r="E32" s="36">
        <v>24.246756806342145</v>
      </c>
      <c r="F32" s="36">
        <v>24.424928391518755</v>
      </c>
      <c r="G32" s="36">
        <v>21.000221493113763</v>
      </c>
      <c r="H32" s="36">
        <v>15.559419484852654</v>
      </c>
      <c r="I32" s="11">
        <v>17.542999999999999</v>
      </c>
      <c r="J32" s="11"/>
      <c r="K32" s="38">
        <v>964.34400000000005</v>
      </c>
      <c r="L32" s="38">
        <v>956.98599999999999</v>
      </c>
      <c r="M32" s="38">
        <v>1091.6369999999999</v>
      </c>
      <c r="N32" s="38">
        <v>1116.643</v>
      </c>
      <c r="O32" s="38">
        <v>973.72</v>
      </c>
      <c r="P32" s="38">
        <v>730.55799999999999</v>
      </c>
      <c r="Q32" s="11">
        <v>833.07299999999998</v>
      </c>
      <c r="R32" s="11"/>
    </row>
    <row r="33" spans="1:18" ht="15" customHeight="1" thickBot="1" x14ac:dyDescent="0.3">
      <c r="A33" s="17"/>
      <c r="B33" s="35" t="s">
        <v>23</v>
      </c>
      <c r="C33" s="37">
        <v>57.994886136709567</v>
      </c>
      <c r="D33" s="37">
        <v>59.073751910536778</v>
      </c>
      <c r="E33" s="37">
        <v>57.868290110741462</v>
      </c>
      <c r="F33" s="37">
        <v>63.325083365505655</v>
      </c>
      <c r="G33" s="37">
        <v>60.067746267668497</v>
      </c>
      <c r="H33" s="37">
        <v>50.914386751966546</v>
      </c>
      <c r="I33" s="18">
        <v>50.382000000000005</v>
      </c>
      <c r="J33" s="18"/>
      <c r="K33" s="39">
        <v>2520.8150000000001</v>
      </c>
      <c r="L33" s="39">
        <v>2617.3760000000002</v>
      </c>
      <c r="M33" s="39">
        <v>2605.3449999999998</v>
      </c>
      <c r="N33" s="39">
        <v>2895.0549999999998</v>
      </c>
      <c r="O33" s="39">
        <v>2785.1689999999999</v>
      </c>
      <c r="P33" s="39">
        <v>2390.5720000000001</v>
      </c>
      <c r="Q33" s="18">
        <v>2392.5129999999999</v>
      </c>
      <c r="R33" s="18"/>
    </row>
    <row r="34" spans="1:18" ht="15.75" thickTop="1" x14ac:dyDescent="0.25">
      <c r="B34" s="19" t="s">
        <v>47</v>
      </c>
    </row>
    <row r="35" spans="1:18" x14ac:dyDescent="0.25">
      <c r="B35" s="19" t="s">
        <v>35</v>
      </c>
    </row>
    <row r="36" spans="1:18" x14ac:dyDescent="0.25">
      <c r="B36" s="27"/>
      <c r="C36" s="27"/>
      <c r="D36" s="29"/>
      <c r="E36" s="29"/>
    </row>
    <row r="37" spans="1:18" x14ac:dyDescent="0.25">
      <c r="B37" s="27"/>
      <c r="C37" s="28"/>
      <c r="D37" s="29"/>
      <c r="E37" s="29"/>
    </row>
    <row r="38" spans="1:18" x14ac:dyDescent="0.25">
      <c r="B38" s="80"/>
      <c r="C38" s="80"/>
      <c r="D38" s="80"/>
      <c r="E38" s="80"/>
    </row>
    <row r="39" spans="1:18" x14ac:dyDescent="0.25">
      <c r="B39" s="80"/>
      <c r="C39" s="80"/>
      <c r="D39" s="80"/>
      <c r="E39" s="80"/>
    </row>
  </sheetData>
  <mergeCells count="9">
    <mergeCell ref="B4:R4"/>
    <mergeCell ref="B9:R9"/>
    <mergeCell ref="B10:R10"/>
    <mergeCell ref="B38:E38"/>
    <mergeCell ref="B39:E39"/>
    <mergeCell ref="C12:I12"/>
    <mergeCell ref="K12:Q12"/>
    <mergeCell ref="B11:B13"/>
    <mergeCell ref="C11:R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0D9A2-CE14-49C6-B99A-236DDC3FEFAE}">
  <dimension ref="A8:AX51"/>
  <sheetViews>
    <sheetView zoomScaleNormal="100" workbookViewId="0">
      <selection activeCell="S44" sqref="S44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9" width="6.85546875" style="2" bestFit="1" customWidth="1"/>
    <col min="10" max="10" width="0.85546875" style="2" customWidth="1"/>
    <col min="11" max="11" width="6.7109375" style="2" bestFit="1" customWidth="1"/>
    <col min="12" max="12" width="6.7109375" style="2" customWidth="1"/>
    <col min="13" max="14" width="6.7109375" style="2" bestFit="1" customWidth="1"/>
    <col min="15" max="16" width="6.7109375" style="2" customWidth="1"/>
    <col min="17" max="17" width="6.7109375" style="2" bestFit="1" customWidth="1"/>
    <col min="18" max="18" width="0.85546875" style="2" customWidth="1"/>
    <col min="19" max="19" width="11.42578125" style="2"/>
    <col min="20" max="20" width="64.7109375" style="2" customWidth="1"/>
    <col min="21" max="27" width="6.85546875" style="2" bestFit="1" customWidth="1"/>
    <col min="28" max="28" width="0.85546875" style="2" customWidth="1"/>
    <col min="29" max="29" width="6.7109375" style="2" bestFit="1" customWidth="1"/>
    <col min="30" max="30" width="6.7109375" style="2" customWidth="1"/>
    <col min="31" max="32" width="6.7109375" style="2" bestFit="1" customWidth="1"/>
    <col min="33" max="34" width="6.7109375" style="2" customWidth="1"/>
    <col min="35" max="35" width="6.7109375" style="2" bestFit="1" customWidth="1"/>
    <col min="36" max="36" width="0.85546875" style="2" customWidth="1"/>
    <col min="37" max="16384" width="11.42578125" style="2"/>
  </cols>
  <sheetData>
    <row r="8" spans="1:36" ht="15.75" customHeight="1" x14ac:dyDescent="0.25">
      <c r="A8" s="1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36" ht="16.5" customHeight="1" x14ac:dyDescent="0.25">
      <c r="A9" s="1"/>
      <c r="B9" s="70" t="s">
        <v>31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T9" s="70" t="s">
        <v>32</v>
      </c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</row>
    <row r="10" spans="1:36" ht="17.25" customHeight="1" thickBot="1" x14ac:dyDescent="0.3">
      <c r="A10" s="3"/>
      <c r="B10" s="71" t="s">
        <v>25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T10" s="71" t="s">
        <v>25</v>
      </c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</row>
    <row r="11" spans="1:36" ht="15.75" customHeight="1" thickTop="1" x14ac:dyDescent="0.25">
      <c r="B11" s="72" t="s">
        <v>0</v>
      </c>
      <c r="C11" s="74" t="s">
        <v>1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T11" s="72" t="s">
        <v>0</v>
      </c>
      <c r="U11" s="74" t="s">
        <v>1</v>
      </c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</row>
    <row r="12" spans="1:36" ht="15" customHeight="1" x14ac:dyDescent="0.25">
      <c r="B12" s="72"/>
      <c r="C12" s="75" t="s">
        <v>2</v>
      </c>
      <c r="D12" s="75"/>
      <c r="E12" s="75"/>
      <c r="F12" s="75"/>
      <c r="G12" s="75"/>
      <c r="H12" s="75"/>
      <c r="I12" s="75"/>
      <c r="J12" s="4"/>
      <c r="K12" s="75" t="s">
        <v>3</v>
      </c>
      <c r="L12" s="75"/>
      <c r="M12" s="75"/>
      <c r="N12" s="75"/>
      <c r="O12" s="75"/>
      <c r="P12" s="75"/>
      <c r="Q12" s="75"/>
      <c r="R12" s="4"/>
      <c r="T12" s="72"/>
      <c r="U12" s="75" t="s">
        <v>2</v>
      </c>
      <c r="V12" s="75"/>
      <c r="W12" s="75"/>
      <c r="X12" s="75"/>
      <c r="Y12" s="75"/>
      <c r="Z12" s="75"/>
      <c r="AA12" s="75"/>
      <c r="AB12" s="4"/>
      <c r="AC12" s="75" t="s">
        <v>3</v>
      </c>
      <c r="AD12" s="75"/>
      <c r="AE12" s="75"/>
      <c r="AF12" s="75"/>
      <c r="AG12" s="75"/>
      <c r="AH12" s="75"/>
      <c r="AI12" s="75"/>
      <c r="AJ12" s="4"/>
    </row>
    <row r="13" spans="1:36" ht="16.5" customHeight="1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  <c r="T13" s="73"/>
      <c r="U13" s="20">
        <v>2008</v>
      </c>
      <c r="V13" s="20">
        <v>2010</v>
      </c>
      <c r="W13" s="20">
        <v>2012</v>
      </c>
      <c r="X13" s="20">
        <v>2014</v>
      </c>
      <c r="Y13" s="20">
        <v>2016</v>
      </c>
      <c r="Z13" s="20">
        <v>2018</v>
      </c>
      <c r="AA13" s="20">
        <v>2020</v>
      </c>
      <c r="AB13" s="21"/>
      <c r="AC13" s="20">
        <v>2008</v>
      </c>
      <c r="AD13" s="20">
        <v>2010</v>
      </c>
      <c r="AE13" s="20">
        <v>2012</v>
      </c>
      <c r="AF13" s="20">
        <v>2014</v>
      </c>
      <c r="AG13" s="20">
        <v>2016</v>
      </c>
      <c r="AH13" s="20">
        <v>2018</v>
      </c>
      <c r="AI13" s="20">
        <v>2020</v>
      </c>
      <c r="AJ13" s="6"/>
    </row>
    <row r="14" spans="1:36" ht="16.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  <c r="T14" s="7" t="s">
        <v>4</v>
      </c>
      <c r="U14" s="8"/>
      <c r="V14" s="8"/>
      <c r="W14" s="8"/>
      <c r="X14" s="8"/>
      <c r="Y14" s="8"/>
      <c r="Z14" s="8"/>
      <c r="AA14" s="8"/>
      <c r="AB14" s="9"/>
      <c r="AC14" s="8"/>
      <c r="AD14" s="8"/>
      <c r="AE14" s="8"/>
      <c r="AF14" s="8"/>
      <c r="AG14" s="8"/>
      <c r="AH14" s="8"/>
      <c r="AI14" s="8"/>
      <c r="AJ14" s="9"/>
    </row>
    <row r="15" spans="1:36" ht="16.5" customHeight="1" x14ac:dyDescent="0.25">
      <c r="B15" s="10" t="s">
        <v>5</v>
      </c>
      <c r="C15" s="11">
        <v>38.887717000000002</v>
      </c>
      <c r="D15" s="11">
        <v>40.430543</v>
      </c>
      <c r="E15" s="11">
        <v>40.626132999999996</v>
      </c>
      <c r="F15" s="11">
        <v>41.652212999999996</v>
      </c>
      <c r="G15" s="11">
        <v>39.156816999999997</v>
      </c>
      <c r="H15" s="11">
        <v>37.564037999999996</v>
      </c>
      <c r="I15" s="11">
        <v>41.452247</v>
      </c>
      <c r="J15" s="11"/>
      <c r="K15" s="11">
        <v>33.318069999999999</v>
      </c>
      <c r="L15" s="11">
        <v>35.564917999999999</v>
      </c>
      <c r="M15" s="11">
        <v>36.605077999999999</v>
      </c>
      <c r="N15" s="11">
        <v>38.352102000000002</v>
      </c>
      <c r="O15" s="11">
        <v>36.901515000000003</v>
      </c>
      <c r="P15" s="11">
        <v>35.470334000000001</v>
      </c>
      <c r="Q15" s="11">
        <v>40.595554</v>
      </c>
      <c r="R15" s="11"/>
      <c r="T15" s="10" t="s">
        <v>5</v>
      </c>
      <c r="U15" s="11">
        <v>62.460764000000005</v>
      </c>
      <c r="V15" s="11">
        <v>64.906413999999998</v>
      </c>
      <c r="W15" s="11">
        <v>61.553126999999996</v>
      </c>
      <c r="X15" s="11">
        <v>61.125989000000004</v>
      </c>
      <c r="Y15" s="11">
        <v>58.164623999999996</v>
      </c>
      <c r="Z15" s="11">
        <v>55.308888000000003</v>
      </c>
      <c r="AA15" s="11">
        <v>54.459429</v>
      </c>
      <c r="AB15" s="11"/>
      <c r="AC15" s="11">
        <v>16.171426</v>
      </c>
      <c r="AD15" s="11">
        <v>17.248101999999999</v>
      </c>
      <c r="AE15" s="11">
        <v>16.744824000000001</v>
      </c>
      <c r="AF15" s="11">
        <v>16.989453999999999</v>
      </c>
      <c r="AG15" s="11">
        <v>16.516635999999998</v>
      </c>
      <c r="AH15" s="11">
        <v>16.955552999999998</v>
      </c>
      <c r="AI15" s="11">
        <v>16.052439</v>
      </c>
      <c r="AJ15" s="11"/>
    </row>
    <row r="16" spans="1:36" ht="16.5" customHeight="1" x14ac:dyDescent="0.25">
      <c r="B16" s="10" t="s">
        <v>6</v>
      </c>
      <c r="C16" s="11">
        <v>32.676941999999997</v>
      </c>
      <c r="D16" s="11">
        <v>33.683719000000004</v>
      </c>
      <c r="E16" s="11">
        <v>34.319336999999997</v>
      </c>
      <c r="F16" s="11">
        <v>35.438046999999997</v>
      </c>
      <c r="G16" s="11">
        <v>34.449793</v>
      </c>
      <c r="H16" s="11">
        <v>33.040689</v>
      </c>
      <c r="I16" s="11">
        <v>34.758187</v>
      </c>
      <c r="J16" s="11"/>
      <c r="K16" s="11">
        <v>27.996825999999999</v>
      </c>
      <c r="L16" s="11">
        <v>29.630042</v>
      </c>
      <c r="M16" s="11">
        <v>30.922509999999999</v>
      </c>
      <c r="N16" s="11">
        <v>32.630285000000001</v>
      </c>
      <c r="O16" s="11">
        <v>32.465600000000002</v>
      </c>
      <c r="P16" s="11">
        <v>31.199102</v>
      </c>
      <c r="Q16" s="11">
        <v>34.039839999999998</v>
      </c>
      <c r="R16" s="11"/>
      <c r="T16" s="10" t="s">
        <v>6</v>
      </c>
      <c r="U16" s="11">
        <v>35.397082000000005</v>
      </c>
      <c r="V16" s="11">
        <v>38.452488000000002</v>
      </c>
      <c r="W16" s="11">
        <v>40.062122000000002</v>
      </c>
      <c r="X16" s="11">
        <v>40.544376</v>
      </c>
      <c r="Y16" s="11">
        <v>40.769203999999995</v>
      </c>
      <c r="Z16" s="11">
        <v>38.871965000000003</v>
      </c>
      <c r="AA16" s="11">
        <v>37.604801999999999</v>
      </c>
      <c r="AB16" s="11"/>
      <c r="AC16" s="11">
        <v>9.1644939999999995</v>
      </c>
      <c r="AD16" s="11">
        <v>10.218287999999999</v>
      </c>
      <c r="AE16" s="11">
        <v>10.898441999999999</v>
      </c>
      <c r="AF16" s="11">
        <v>11.268967999999999</v>
      </c>
      <c r="AG16" s="11">
        <v>11.576969999999999</v>
      </c>
      <c r="AH16" s="11">
        <v>11.916632</v>
      </c>
      <c r="AI16" s="11">
        <v>11.084376000000001</v>
      </c>
      <c r="AJ16" s="11"/>
    </row>
    <row r="17" spans="2:36" ht="16.5" customHeight="1" x14ac:dyDescent="0.25">
      <c r="B17" s="10" t="s">
        <v>7</v>
      </c>
      <c r="C17" s="11">
        <v>6.2107747999999994</v>
      </c>
      <c r="D17" s="11">
        <v>6.7468245999999992</v>
      </c>
      <c r="E17" s="11">
        <v>6.3067961000000006</v>
      </c>
      <c r="F17" s="11">
        <v>6.2141662999999996</v>
      </c>
      <c r="G17" s="11">
        <v>4.7070239000000003</v>
      </c>
      <c r="H17" s="11">
        <v>4.5233495999999995</v>
      </c>
      <c r="I17" s="11">
        <v>6.6940600000000003</v>
      </c>
      <c r="J17" s="11"/>
      <c r="K17" s="11">
        <v>5.3212440000000001</v>
      </c>
      <c r="L17" s="11">
        <v>5.934876</v>
      </c>
      <c r="M17" s="11">
        <v>5.6825679999999998</v>
      </c>
      <c r="N17" s="11">
        <v>5.7218169999999997</v>
      </c>
      <c r="O17" s="11">
        <v>4.4359149999999996</v>
      </c>
      <c r="P17" s="11">
        <v>4.2712320000000004</v>
      </c>
      <c r="Q17" s="11">
        <v>6.555714</v>
      </c>
      <c r="R17" s="11"/>
      <c r="T17" s="10" t="s">
        <v>7</v>
      </c>
      <c r="U17" s="11">
        <v>27.063682</v>
      </c>
      <c r="V17" s="11">
        <v>26.453925999999999</v>
      </c>
      <c r="W17" s="11">
        <v>21.491004999999998</v>
      </c>
      <c r="X17" s="11">
        <v>20.581613000000001</v>
      </c>
      <c r="Y17" s="11">
        <v>17.395420000000001</v>
      </c>
      <c r="Z17" s="11">
        <v>16.436923</v>
      </c>
      <c r="AA17" s="11">
        <v>16.854627000000001</v>
      </c>
      <c r="AB17" s="11"/>
      <c r="AC17" s="11">
        <v>7.0069319999999999</v>
      </c>
      <c r="AD17" s="11">
        <v>7.029814</v>
      </c>
      <c r="AE17" s="11">
        <v>5.8463820000000002</v>
      </c>
      <c r="AF17" s="11">
        <v>5.7204860000000002</v>
      </c>
      <c r="AG17" s="11">
        <v>4.9396659999999999</v>
      </c>
      <c r="AH17" s="11">
        <v>5.0389210000000002</v>
      </c>
      <c r="AI17" s="11">
        <v>4.9680629999999999</v>
      </c>
      <c r="AJ17" s="11"/>
    </row>
    <row r="18" spans="2:36" ht="16.5" customHeight="1" x14ac:dyDescent="0.25">
      <c r="B18" s="10" t="s">
        <v>8</v>
      </c>
      <c r="C18" s="11">
        <v>32.038556</v>
      </c>
      <c r="D18" s="11">
        <v>27.800522000000001</v>
      </c>
      <c r="E18" s="11">
        <v>27.563608000000002</v>
      </c>
      <c r="F18" s="11">
        <v>24.626249000000001</v>
      </c>
      <c r="G18" s="11">
        <v>24.834465000000002</v>
      </c>
      <c r="H18" s="11">
        <v>27.169253999999999</v>
      </c>
      <c r="I18" s="11">
        <v>23.486038000000001</v>
      </c>
      <c r="J18" s="11"/>
      <c r="K18" s="11">
        <v>27.449871999999999</v>
      </c>
      <c r="L18" s="11">
        <v>24.45486</v>
      </c>
      <c r="M18" s="11">
        <v>24.835443000000001</v>
      </c>
      <c r="N18" s="11">
        <v>22.675108000000002</v>
      </c>
      <c r="O18" s="11">
        <v>23.404083</v>
      </c>
      <c r="P18" s="11">
        <v>25.654923</v>
      </c>
      <c r="Q18" s="11">
        <v>23.000653</v>
      </c>
      <c r="R18" s="11"/>
      <c r="T18" s="10" t="s">
        <v>8</v>
      </c>
      <c r="U18" s="11">
        <v>33.032021</v>
      </c>
      <c r="V18" s="11">
        <v>28.908994999999997</v>
      </c>
      <c r="W18" s="11">
        <v>31.911835999999997</v>
      </c>
      <c r="X18" s="11">
        <v>31.662955999999998</v>
      </c>
      <c r="Y18" s="11">
        <v>33.302405999999998</v>
      </c>
      <c r="Z18" s="11">
        <v>35.951895</v>
      </c>
      <c r="AA18" s="11">
        <v>35.865144000000001</v>
      </c>
      <c r="AB18" s="11"/>
      <c r="AC18" s="11">
        <v>8.5521670000000007</v>
      </c>
      <c r="AD18" s="11">
        <v>7.6822189999999999</v>
      </c>
      <c r="AE18" s="11">
        <v>8.6812500000000004</v>
      </c>
      <c r="AF18" s="11">
        <v>8.8004519999999999</v>
      </c>
      <c r="AG18" s="11">
        <v>9.456671</v>
      </c>
      <c r="AH18" s="11">
        <v>11.021452</v>
      </c>
      <c r="AI18" s="11">
        <v>10.571595</v>
      </c>
      <c r="AJ18" s="11"/>
    </row>
    <row r="19" spans="2:36" ht="16.5" customHeight="1" x14ac:dyDescent="0.25">
      <c r="B19" s="10" t="s">
        <v>9</v>
      </c>
      <c r="C19" s="11">
        <v>5.8663547000000005</v>
      </c>
      <c r="D19" s="11">
        <v>7.3601617999999993</v>
      </c>
      <c r="E19" s="11">
        <v>7.6367278000000001</v>
      </c>
      <c r="F19" s="11">
        <v>8.8286774000000001</v>
      </c>
      <c r="G19" s="11">
        <v>8.6785484000000004</v>
      </c>
      <c r="H19" s="11">
        <v>8.6975984000000004</v>
      </c>
      <c r="I19" s="11">
        <v>9.5569074000000001</v>
      </c>
      <c r="J19" s="11"/>
      <c r="K19" s="11">
        <v>5.0261529999999999</v>
      </c>
      <c r="L19" s="11">
        <v>6.4744010000000003</v>
      </c>
      <c r="M19" s="11">
        <v>6.8808670000000003</v>
      </c>
      <c r="N19" s="11">
        <v>8.1291799999999999</v>
      </c>
      <c r="O19" s="11">
        <v>8.1786930000000009</v>
      </c>
      <c r="P19" s="11">
        <v>8.2128209999999999</v>
      </c>
      <c r="Q19" s="11">
        <v>9.3593949999999992</v>
      </c>
      <c r="R19" s="11"/>
      <c r="T19" s="10" t="s">
        <v>9</v>
      </c>
      <c r="U19" s="11">
        <v>0.66270936000000003</v>
      </c>
      <c r="V19" s="11">
        <v>1.0183563</v>
      </c>
      <c r="W19" s="11">
        <v>1.2783519000000001</v>
      </c>
      <c r="X19" s="11">
        <v>1.2470139</v>
      </c>
      <c r="Y19" s="11">
        <v>1.5013509</v>
      </c>
      <c r="Z19" s="11">
        <v>1.3543271000000001</v>
      </c>
      <c r="AA19" s="11">
        <v>1.6137862999999999</v>
      </c>
      <c r="AB19" s="11"/>
      <c r="AC19" s="11">
        <v>0.17157900000000001</v>
      </c>
      <c r="AD19" s="11">
        <v>0.27061600000000002</v>
      </c>
      <c r="AE19" s="11">
        <v>0.34776099999999999</v>
      </c>
      <c r="AF19" s="11">
        <v>0.34659699999999999</v>
      </c>
      <c r="AG19" s="11">
        <v>0.42632900000000001</v>
      </c>
      <c r="AH19" s="11">
        <v>0.415184</v>
      </c>
      <c r="AI19" s="11">
        <v>0.47567900000000002</v>
      </c>
      <c r="AJ19" s="11"/>
    </row>
    <row r="20" spans="2:36" ht="16.5" customHeight="1" x14ac:dyDescent="0.25">
      <c r="B20" s="10" t="s">
        <v>10</v>
      </c>
      <c r="C20" s="11">
        <v>23.207371999999999</v>
      </c>
      <c r="D20" s="11">
        <v>24.408773</v>
      </c>
      <c r="E20" s="11">
        <v>24.173532000000002</v>
      </c>
      <c r="F20" s="11">
        <v>24.892859999999999</v>
      </c>
      <c r="G20" s="11">
        <v>27.330168999999998</v>
      </c>
      <c r="H20" s="11">
        <v>26.569110000000002</v>
      </c>
      <c r="I20" s="11">
        <v>25.504807000000003</v>
      </c>
      <c r="J20" s="11"/>
      <c r="K20" s="11">
        <v>19.883524000000001</v>
      </c>
      <c r="L20" s="11">
        <v>21.471291999999998</v>
      </c>
      <c r="M20" s="11">
        <v>21.780906999999999</v>
      </c>
      <c r="N20" s="11">
        <v>22.920594999999999</v>
      </c>
      <c r="O20" s="11">
        <v>25.756042999999998</v>
      </c>
      <c r="P20" s="11">
        <v>25.088228999999998</v>
      </c>
      <c r="Q20" s="11">
        <v>24.977699999999999</v>
      </c>
      <c r="R20" s="11"/>
      <c r="T20" s="10" t="s">
        <v>10</v>
      </c>
      <c r="U20" s="11">
        <v>3.8445052999999998</v>
      </c>
      <c r="V20" s="11">
        <v>5.1662347999999998</v>
      </c>
      <c r="W20" s="11">
        <v>5.2566848999999998</v>
      </c>
      <c r="X20" s="11">
        <v>5.9640410999999993</v>
      </c>
      <c r="Y20" s="11">
        <v>7.0316194999999997</v>
      </c>
      <c r="Z20" s="11">
        <v>7.3848901999999992</v>
      </c>
      <c r="AA20" s="11">
        <v>8.0616409999999998</v>
      </c>
      <c r="AB20" s="11"/>
      <c r="AC20" s="11">
        <v>0.995363</v>
      </c>
      <c r="AD20" s="11">
        <v>1.372865</v>
      </c>
      <c r="AE20" s="11">
        <v>1.430021</v>
      </c>
      <c r="AF20" s="11">
        <v>1.6576550000000001</v>
      </c>
      <c r="AG20" s="11">
        <v>1.9967239999999999</v>
      </c>
      <c r="AH20" s="11">
        <v>2.2639200000000002</v>
      </c>
      <c r="AI20" s="11">
        <v>2.3762460000000001</v>
      </c>
      <c r="AJ20" s="11"/>
    </row>
    <row r="21" spans="2:36" ht="16.5" customHeight="1" x14ac:dyDescent="0.25">
      <c r="B21" s="12" t="s">
        <v>11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T21" s="12" t="s">
        <v>11</v>
      </c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2:36" ht="16.5" customHeight="1" x14ac:dyDescent="0.25">
      <c r="B22" s="13" t="s">
        <v>12</v>
      </c>
      <c r="C22" s="11">
        <v>70.926272999999995</v>
      </c>
      <c r="D22" s="11">
        <v>68.231065000000001</v>
      </c>
      <c r="E22" s="11">
        <v>68.18974</v>
      </c>
      <c r="F22" s="11">
        <v>66.278463000000002</v>
      </c>
      <c r="G22" s="11">
        <v>63.991282000000005</v>
      </c>
      <c r="H22" s="11">
        <v>64.733291999999992</v>
      </c>
      <c r="I22" s="11">
        <v>64.938284999999993</v>
      </c>
      <c r="J22" s="11"/>
      <c r="K22" s="11">
        <v>60.767941999999998</v>
      </c>
      <c r="L22" s="11">
        <v>60.019778000000002</v>
      </c>
      <c r="M22" s="11">
        <v>61.440520999999997</v>
      </c>
      <c r="N22" s="11">
        <v>61.027209999999997</v>
      </c>
      <c r="O22" s="11">
        <v>60.305598000000003</v>
      </c>
      <c r="P22" s="11">
        <v>61.125256999999998</v>
      </c>
      <c r="Q22" s="11">
        <v>63.596207</v>
      </c>
      <c r="R22" s="11"/>
      <c r="T22" s="13" t="s">
        <v>12</v>
      </c>
      <c r="U22" s="11">
        <v>95.492784999999998</v>
      </c>
      <c r="V22" s="11">
        <v>93.815409000000002</v>
      </c>
      <c r="W22" s="11">
        <v>93.464962999999997</v>
      </c>
      <c r="X22" s="11">
        <v>92.788944999999998</v>
      </c>
      <c r="Y22" s="11">
        <v>91.467030000000008</v>
      </c>
      <c r="Z22" s="11">
        <v>91.260783000000004</v>
      </c>
      <c r="AA22" s="11">
        <v>90.324573000000001</v>
      </c>
      <c r="AB22" s="11"/>
      <c r="AC22" s="11">
        <v>24.723593000000001</v>
      </c>
      <c r="AD22" s="11">
        <v>24.930320999999999</v>
      </c>
      <c r="AE22" s="11">
        <v>25.426074</v>
      </c>
      <c r="AF22" s="11">
        <v>25.789905999999998</v>
      </c>
      <c r="AG22" s="11">
        <v>25.973306999999998</v>
      </c>
      <c r="AH22" s="11">
        <v>27.977004999999998</v>
      </c>
      <c r="AI22" s="11">
        <v>26.624034000000002</v>
      </c>
      <c r="AJ22" s="11"/>
    </row>
    <row r="23" spans="2:36" ht="16.5" customHeight="1" x14ac:dyDescent="0.25">
      <c r="B23" s="13" t="s">
        <v>13</v>
      </c>
      <c r="C23" s="11">
        <v>22.457495999999999</v>
      </c>
      <c r="D23" s="11">
        <v>19.900221000000002</v>
      </c>
      <c r="E23" s="11">
        <v>16.859313</v>
      </c>
      <c r="F23" s="11">
        <v>14.913531999999998</v>
      </c>
      <c r="G23" s="11">
        <v>12.634544</v>
      </c>
      <c r="H23" s="11">
        <v>12.627996999999999</v>
      </c>
      <c r="I23" s="11">
        <v>15.387851999999999</v>
      </c>
      <c r="J23" s="11"/>
      <c r="K23" s="11">
        <v>19.241047999999999</v>
      </c>
      <c r="L23" s="11">
        <v>17.505323000000001</v>
      </c>
      <c r="M23" s="11">
        <v>15.190628</v>
      </c>
      <c r="N23" s="11">
        <v>13.731930999999999</v>
      </c>
      <c r="O23" s="11">
        <v>11.906836</v>
      </c>
      <c r="P23" s="11">
        <v>11.924151</v>
      </c>
      <c r="Q23" s="11">
        <v>15.069832</v>
      </c>
      <c r="R23" s="11"/>
      <c r="T23" s="13" t="s">
        <v>13</v>
      </c>
      <c r="U23" s="11">
        <v>62.391109</v>
      </c>
      <c r="V23" s="11">
        <v>55.863876999999995</v>
      </c>
      <c r="W23" s="11">
        <v>47.391094000000002</v>
      </c>
      <c r="X23" s="11">
        <v>45.995277000000002</v>
      </c>
      <c r="Y23" s="11">
        <v>38.905003999999998</v>
      </c>
      <c r="Z23" s="11">
        <v>37.726431999999996</v>
      </c>
      <c r="AA23" s="11">
        <v>41.727269999999997</v>
      </c>
      <c r="AB23" s="11"/>
      <c r="AC23" s="11">
        <v>16.153392</v>
      </c>
      <c r="AD23" s="11">
        <v>14.845155999999999</v>
      </c>
      <c r="AE23" s="11">
        <v>12.892205000000001</v>
      </c>
      <c r="AF23" s="11">
        <v>12.784000000000001</v>
      </c>
      <c r="AG23" s="11">
        <v>11.047605000000001</v>
      </c>
      <c r="AH23" s="11">
        <v>11.565455999999999</v>
      </c>
      <c r="AI23" s="11">
        <v>12.299512999999999</v>
      </c>
      <c r="AJ23" s="11"/>
    </row>
    <row r="24" spans="2:36" ht="16.5" customHeight="1" x14ac:dyDescent="0.25">
      <c r="B24" s="14" t="s">
        <v>14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T24" s="14" t="s">
        <v>14</v>
      </c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2:36" ht="16.5" customHeight="1" x14ac:dyDescent="0.25">
      <c r="B25" s="15" t="s">
        <v>15</v>
      </c>
      <c r="C25" s="11">
        <v>17.611993000000002</v>
      </c>
      <c r="D25" s="11">
        <v>16.663034</v>
      </c>
      <c r="E25" s="11">
        <v>15.251318999999999</v>
      </c>
      <c r="F25" s="11">
        <v>14.778508000000002</v>
      </c>
      <c r="G25" s="11">
        <v>13.854558000000001</v>
      </c>
      <c r="H25" s="11">
        <v>13.227622999999999</v>
      </c>
      <c r="I25" s="11">
        <v>12.968449000000001</v>
      </c>
      <c r="J25" s="11"/>
      <c r="K25" s="11">
        <v>15.089536000000001</v>
      </c>
      <c r="L25" s="11">
        <v>14.657716000000001</v>
      </c>
      <c r="M25" s="11">
        <v>13.741788</v>
      </c>
      <c r="N25" s="11">
        <v>13.607605</v>
      </c>
      <c r="O25" s="11">
        <v>13.056582000000001</v>
      </c>
      <c r="P25" s="11">
        <v>12.490356</v>
      </c>
      <c r="Q25" s="11">
        <v>12.700430000000001</v>
      </c>
      <c r="R25" s="11"/>
      <c r="T25" s="15" t="s">
        <v>15</v>
      </c>
      <c r="U25" s="11">
        <v>36.289729000000001</v>
      </c>
      <c r="V25" s="11">
        <v>33.919832</v>
      </c>
      <c r="W25" s="11">
        <v>32.446154</v>
      </c>
      <c r="X25" s="11">
        <v>31.518253000000001</v>
      </c>
      <c r="Y25" s="11">
        <v>29.112255999999999</v>
      </c>
      <c r="Z25" s="11">
        <v>28.185423</v>
      </c>
      <c r="AA25" s="11">
        <v>27.512079</v>
      </c>
      <c r="AB25" s="11"/>
      <c r="AC25" s="11">
        <v>9.3956049999999998</v>
      </c>
      <c r="AD25" s="11">
        <v>9.0137889999999992</v>
      </c>
      <c r="AE25" s="11">
        <v>8.8266050000000007</v>
      </c>
      <c r="AF25" s="11">
        <v>8.7602329999999995</v>
      </c>
      <c r="AG25" s="11">
        <v>8.2668210000000002</v>
      </c>
      <c r="AH25" s="11">
        <v>8.6405539999999998</v>
      </c>
      <c r="AI25" s="11">
        <v>8.1094489999999997</v>
      </c>
      <c r="AJ25" s="11"/>
    </row>
    <row r="26" spans="2:36" x14ac:dyDescent="0.25">
      <c r="B26" s="13" t="s">
        <v>16</v>
      </c>
      <c r="C26" s="11">
        <v>35.757083000000002</v>
      </c>
      <c r="D26" s="11">
        <v>28.575204999999997</v>
      </c>
      <c r="E26" s="11">
        <v>21.827051000000001</v>
      </c>
      <c r="F26" s="11">
        <v>18.401703000000001</v>
      </c>
      <c r="G26" s="11">
        <v>16.242042000000001</v>
      </c>
      <c r="H26" s="11">
        <v>16.973482000000001</v>
      </c>
      <c r="I26" s="11">
        <v>27.482680999999999</v>
      </c>
      <c r="J26" s="11"/>
      <c r="K26" s="11">
        <v>30.635816999999999</v>
      </c>
      <c r="L26" s="11">
        <v>25.136313999999999</v>
      </c>
      <c r="M26" s="11">
        <v>19.666674</v>
      </c>
      <c r="N26" s="11">
        <v>16.943733000000002</v>
      </c>
      <c r="O26" s="11">
        <v>15.306554999999999</v>
      </c>
      <c r="P26" s="11">
        <v>16.027432000000001</v>
      </c>
      <c r="Q26" s="11">
        <v>26.914697</v>
      </c>
      <c r="R26" s="11"/>
      <c r="T26" s="13" t="s">
        <v>16</v>
      </c>
      <c r="U26" s="11">
        <v>47.149211000000001</v>
      </c>
      <c r="V26" s="11">
        <v>31.389741999999998</v>
      </c>
      <c r="W26" s="11">
        <v>20.591618</v>
      </c>
      <c r="X26" s="11">
        <v>17.346702999999998</v>
      </c>
      <c r="Y26" s="11">
        <v>13.209935999999999</v>
      </c>
      <c r="Z26" s="11">
        <v>13.757066000000002</v>
      </c>
      <c r="AA26" s="11">
        <v>30.570266</v>
      </c>
      <c r="AB26" s="11"/>
      <c r="AC26" s="11">
        <v>12.207183000000001</v>
      </c>
      <c r="AD26" s="11">
        <v>8.3414479999999998</v>
      </c>
      <c r="AE26" s="11">
        <v>5.6017140000000003</v>
      </c>
      <c r="AF26" s="11">
        <v>4.8213699999999999</v>
      </c>
      <c r="AG26" s="11">
        <v>3.7511410000000001</v>
      </c>
      <c r="AH26" s="11">
        <v>4.2173809999999996</v>
      </c>
      <c r="AI26" s="11">
        <v>9.0108789999999992</v>
      </c>
      <c r="AJ26" s="11"/>
    </row>
    <row r="27" spans="2:36" x14ac:dyDescent="0.25">
      <c r="B27" s="13" t="s">
        <v>17</v>
      </c>
      <c r="C27" s="11">
        <v>58.585169</v>
      </c>
      <c r="D27" s="11">
        <v>54.347814000000007</v>
      </c>
      <c r="E27" s="11">
        <v>55.102216999999996</v>
      </c>
      <c r="F27" s="11">
        <v>51.985892</v>
      </c>
      <c r="G27" s="11">
        <v>49.378678000000001</v>
      </c>
      <c r="H27" s="11">
        <v>50.656007000000002</v>
      </c>
      <c r="I27" s="11">
        <v>50.974074999999999</v>
      </c>
      <c r="J27" s="11"/>
      <c r="K27" s="11">
        <v>50.194378</v>
      </c>
      <c r="L27" s="11">
        <v>47.807310999999999</v>
      </c>
      <c r="M27" s="11">
        <v>49.648361999999999</v>
      </c>
      <c r="N27" s="11">
        <v>47.867041999999998</v>
      </c>
      <c r="O27" s="11">
        <v>46.534630999999997</v>
      </c>
      <c r="P27" s="11">
        <v>47.832597</v>
      </c>
      <c r="Q27" s="11">
        <v>49.920594999999999</v>
      </c>
      <c r="R27" s="11"/>
      <c r="T27" s="13" t="s">
        <v>17</v>
      </c>
      <c r="U27" s="11">
        <v>86.229134000000002</v>
      </c>
      <c r="V27" s="11">
        <v>81.899450999999999</v>
      </c>
      <c r="W27" s="11">
        <v>81.546598000000003</v>
      </c>
      <c r="X27" s="11">
        <v>79.960881999999998</v>
      </c>
      <c r="Y27" s="11">
        <v>77.108688999999998</v>
      </c>
      <c r="Z27" s="11">
        <v>77.722440000000006</v>
      </c>
      <c r="AA27" s="11">
        <v>75.778403000000012</v>
      </c>
      <c r="AB27" s="11"/>
      <c r="AC27" s="11">
        <v>22.325184</v>
      </c>
      <c r="AD27" s="11">
        <v>21.763798000000001</v>
      </c>
      <c r="AE27" s="11">
        <v>22.183819</v>
      </c>
      <c r="AF27" s="11">
        <v>22.224454000000001</v>
      </c>
      <c r="AG27" s="11">
        <v>21.896061</v>
      </c>
      <c r="AH27" s="11">
        <v>23.826675999999999</v>
      </c>
      <c r="AI27" s="11">
        <v>22.336410999999998</v>
      </c>
      <c r="AJ27" s="11"/>
    </row>
    <row r="28" spans="2:36" x14ac:dyDescent="0.25">
      <c r="B28" s="13" t="s">
        <v>18</v>
      </c>
      <c r="C28" s="11">
        <v>12.189970000000001</v>
      </c>
      <c r="D28" s="11">
        <v>10.980579000000001</v>
      </c>
      <c r="E28" s="11">
        <v>10.587786000000001</v>
      </c>
      <c r="F28" s="11">
        <v>9.3553388999999996</v>
      </c>
      <c r="G28" s="11">
        <v>9.2217775999999994</v>
      </c>
      <c r="H28" s="11">
        <v>8.5867342000000004</v>
      </c>
      <c r="I28" s="11">
        <v>7.0884171999999994</v>
      </c>
      <c r="J28" s="11"/>
      <c r="K28" s="11">
        <v>10.444076000000001</v>
      </c>
      <c r="L28" s="11">
        <v>9.6591179999999994</v>
      </c>
      <c r="M28" s="11">
        <v>9.5398379999999996</v>
      </c>
      <c r="N28" s="11">
        <v>8.6141140000000007</v>
      </c>
      <c r="O28" s="11">
        <v>8.6906339999999993</v>
      </c>
      <c r="P28" s="11">
        <v>8.108136</v>
      </c>
      <c r="Q28" s="11">
        <v>6.9419209999999998</v>
      </c>
      <c r="R28" s="11"/>
      <c r="T28" s="13" t="s">
        <v>18</v>
      </c>
      <c r="U28" s="11">
        <v>35.916612000000001</v>
      </c>
      <c r="V28" s="11">
        <v>29.061049999999998</v>
      </c>
      <c r="W28" s="11">
        <v>23.365069999999999</v>
      </c>
      <c r="X28" s="11">
        <v>22.126132000000002</v>
      </c>
      <c r="Y28" s="11">
        <v>21.430827999999998</v>
      </c>
      <c r="Z28" s="11">
        <v>18.701284000000001</v>
      </c>
      <c r="AA28" s="11">
        <v>16.877594999999999</v>
      </c>
      <c r="AB28" s="11"/>
      <c r="AC28" s="11">
        <v>9.2990030000000008</v>
      </c>
      <c r="AD28" s="11">
        <v>7.722626</v>
      </c>
      <c r="AE28" s="11">
        <v>6.3562000000000003</v>
      </c>
      <c r="AF28" s="11">
        <v>6.1497719999999996</v>
      </c>
      <c r="AG28" s="11">
        <v>6.0855750000000004</v>
      </c>
      <c r="AH28" s="11">
        <v>5.7330860000000001</v>
      </c>
      <c r="AI28" s="11">
        <v>4.9748330000000003</v>
      </c>
      <c r="AJ28" s="11"/>
    </row>
    <row r="29" spans="2:36" x14ac:dyDescent="0.25">
      <c r="B29" s="13" t="s">
        <v>19</v>
      </c>
      <c r="C29" s="11">
        <v>11.478671</v>
      </c>
      <c r="D29" s="11">
        <v>10.736808999999999</v>
      </c>
      <c r="E29" s="11">
        <v>10.303649</v>
      </c>
      <c r="F29" s="11">
        <v>10.155965</v>
      </c>
      <c r="G29" s="11">
        <v>9.141550800000001</v>
      </c>
      <c r="H29" s="11">
        <v>9.2465619999999991</v>
      </c>
      <c r="I29" s="11">
        <v>8.5058736999999986</v>
      </c>
      <c r="J29" s="11"/>
      <c r="K29" s="11">
        <v>9.8346520000000002</v>
      </c>
      <c r="L29" s="11">
        <v>9.4446849999999998</v>
      </c>
      <c r="M29" s="11">
        <v>9.2838239999999992</v>
      </c>
      <c r="N29" s="11">
        <v>9.3513059999999992</v>
      </c>
      <c r="O29" s="11">
        <v>8.6150280000000006</v>
      </c>
      <c r="P29" s="11">
        <v>8.7311870000000003</v>
      </c>
      <c r="Q29" s="11">
        <v>8.3300830000000001</v>
      </c>
      <c r="R29" s="11"/>
      <c r="T29" s="13" t="s">
        <v>19</v>
      </c>
      <c r="U29" s="11">
        <v>60.511473000000002</v>
      </c>
      <c r="V29" s="11">
        <v>63.290036999999998</v>
      </c>
      <c r="W29" s="11">
        <v>57.335919999999994</v>
      </c>
      <c r="X29" s="11">
        <v>57.861284999999995</v>
      </c>
      <c r="Y29" s="11">
        <v>53.053950999999998</v>
      </c>
      <c r="Z29" s="11">
        <v>52.152297000000004</v>
      </c>
      <c r="AA29" s="11">
        <v>49.59534</v>
      </c>
      <c r="AB29" s="11"/>
      <c r="AC29" s="11">
        <v>15.666744</v>
      </c>
      <c r="AD29" s="11">
        <v>16.818569</v>
      </c>
      <c r="AE29" s="11">
        <v>15.597581</v>
      </c>
      <c r="AF29" s="11">
        <v>16.082056999999999</v>
      </c>
      <c r="AG29" s="11">
        <v>15.065391</v>
      </c>
      <c r="AH29" s="11">
        <v>15.987864999999999</v>
      </c>
      <c r="AI29" s="11">
        <v>14.618702000000001</v>
      </c>
      <c r="AJ29" s="11"/>
    </row>
    <row r="30" spans="2:36" x14ac:dyDescent="0.25">
      <c r="B30" s="31" t="s">
        <v>20</v>
      </c>
      <c r="C30" s="11">
        <v>18.477647999999999</v>
      </c>
      <c r="D30" s="11">
        <v>22.192816000000001</v>
      </c>
      <c r="E30" s="11">
        <v>21.022235000000002</v>
      </c>
      <c r="F30" s="11">
        <v>20.716397999999998</v>
      </c>
      <c r="G30" s="11">
        <v>18.668134999999999</v>
      </c>
      <c r="H30" s="11">
        <v>18.675639999999998</v>
      </c>
      <c r="I30" s="11">
        <v>19.385918999999998</v>
      </c>
      <c r="J30" s="11"/>
      <c r="K30" s="11">
        <v>15.831208999999999</v>
      </c>
      <c r="L30" s="11">
        <v>19.522015</v>
      </c>
      <c r="M30" s="11">
        <v>18.941516</v>
      </c>
      <c r="N30" s="11">
        <v>19.075035</v>
      </c>
      <c r="O30" s="11">
        <v>17.592912999999999</v>
      </c>
      <c r="P30" s="11">
        <v>17.634716999999998</v>
      </c>
      <c r="Q30" s="11">
        <v>18.985271000000001</v>
      </c>
      <c r="R30" s="11"/>
      <c r="T30" s="31" t="s">
        <v>20</v>
      </c>
      <c r="U30" s="11">
        <v>32.550266000000001</v>
      </c>
      <c r="V30" s="11">
        <v>33.558385999999999</v>
      </c>
      <c r="W30" s="11">
        <v>30.917304999999999</v>
      </c>
      <c r="X30" s="11">
        <v>32.077824</v>
      </c>
      <c r="Y30" s="11">
        <v>24.655262</v>
      </c>
      <c r="Z30" s="11">
        <v>25.759512000000001</v>
      </c>
      <c r="AA30" s="11">
        <v>25.486214</v>
      </c>
      <c r="AB30" s="11"/>
      <c r="AC30" s="11">
        <v>8.4274380000000004</v>
      </c>
      <c r="AD30" s="11">
        <v>8.9177389999999992</v>
      </c>
      <c r="AE30" s="11">
        <v>8.4106989999999993</v>
      </c>
      <c r="AF30" s="11">
        <v>8.9157609999999998</v>
      </c>
      <c r="AG30" s="11">
        <v>7.0011970000000003</v>
      </c>
      <c r="AH30" s="11">
        <v>7.8968639999999999</v>
      </c>
      <c r="AI30" s="11">
        <v>7.5123059999999997</v>
      </c>
      <c r="AJ30" s="11"/>
    </row>
    <row r="31" spans="2:36" x14ac:dyDescent="0.25">
      <c r="B31" s="7" t="s">
        <v>21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T31" s="7" t="s">
        <v>21</v>
      </c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2:36" ht="25.5" x14ac:dyDescent="0.25">
      <c r="B32" s="15" t="s">
        <v>22</v>
      </c>
      <c r="C32" s="11">
        <v>11.894026999999999</v>
      </c>
      <c r="D32" s="11">
        <v>14.70852</v>
      </c>
      <c r="E32" s="11">
        <v>16.214472000000001</v>
      </c>
      <c r="F32" s="11">
        <v>17.131887000000003</v>
      </c>
      <c r="G32" s="11">
        <v>13.917261999999999</v>
      </c>
      <c r="H32" s="11">
        <v>13.390775999999999</v>
      </c>
      <c r="I32" s="11">
        <v>18.373754000000002</v>
      </c>
      <c r="J32" s="11"/>
      <c r="K32" s="11">
        <v>10.190519</v>
      </c>
      <c r="L32" s="11">
        <v>12.938419</v>
      </c>
      <c r="M32" s="11">
        <v>14.609610999999999</v>
      </c>
      <c r="N32" s="11">
        <v>15.774525000000001</v>
      </c>
      <c r="O32" s="11">
        <v>13.115674</v>
      </c>
      <c r="P32" s="11">
        <v>12.644415</v>
      </c>
      <c r="Q32" s="11">
        <v>17.994024</v>
      </c>
      <c r="R32" s="11"/>
      <c r="T32" s="15" t="s">
        <v>22</v>
      </c>
      <c r="U32" s="11">
        <v>32.832234</v>
      </c>
      <c r="V32" s="11">
        <v>34.945127999999997</v>
      </c>
      <c r="W32" s="11">
        <v>32.735337000000001</v>
      </c>
      <c r="X32" s="11">
        <v>31.885289999999998</v>
      </c>
      <c r="Y32" s="11">
        <v>29.217393000000001</v>
      </c>
      <c r="Z32" s="11">
        <v>27.344442000000001</v>
      </c>
      <c r="AA32" s="11">
        <v>26.777849999999997</v>
      </c>
      <c r="AB32" s="11"/>
      <c r="AC32" s="11">
        <v>8.5004410000000004</v>
      </c>
      <c r="AD32" s="11">
        <v>9.2862489999999998</v>
      </c>
      <c r="AE32" s="11">
        <v>8.9052740000000004</v>
      </c>
      <c r="AF32" s="11">
        <v>8.8622479999999992</v>
      </c>
      <c r="AG32" s="11">
        <v>8.2966759999999997</v>
      </c>
      <c r="AH32" s="11">
        <v>8.3827420000000004</v>
      </c>
      <c r="AI32" s="11">
        <v>7.8930280000000002</v>
      </c>
      <c r="AJ32" s="11"/>
    </row>
    <row r="33" spans="1:50" ht="15.75" thickBot="1" x14ac:dyDescent="0.3">
      <c r="A33" s="17"/>
      <c r="B33" s="23" t="s">
        <v>23</v>
      </c>
      <c r="C33" s="18">
        <v>44.754072000000001</v>
      </c>
      <c r="D33" s="18">
        <v>47.790705000000003</v>
      </c>
      <c r="E33" s="18">
        <v>48.262861000000001</v>
      </c>
      <c r="F33" s="18">
        <v>50.480891000000007</v>
      </c>
      <c r="G33" s="18">
        <v>47.835365000000003</v>
      </c>
      <c r="H33" s="18">
        <v>46.261637</v>
      </c>
      <c r="I33" s="18">
        <v>51.009154000000002</v>
      </c>
      <c r="J33" s="18"/>
      <c r="K33" s="18">
        <v>38.344223</v>
      </c>
      <c r="L33" s="18">
        <v>42.039318999999999</v>
      </c>
      <c r="M33" s="18">
        <v>43.485945000000001</v>
      </c>
      <c r="N33" s="18">
        <v>46.481282</v>
      </c>
      <c r="O33" s="18">
        <v>45.080207999999999</v>
      </c>
      <c r="P33" s="18">
        <v>43.683154999999999</v>
      </c>
      <c r="Q33" s="18">
        <v>49.954948999999999</v>
      </c>
      <c r="R33" s="18"/>
      <c r="T33" s="23" t="s">
        <v>23</v>
      </c>
      <c r="U33" s="18">
        <v>63.123474000000002</v>
      </c>
      <c r="V33" s="18">
        <v>65.924771000000007</v>
      </c>
      <c r="W33" s="18">
        <v>62.831479000000002</v>
      </c>
      <c r="X33" s="18">
        <v>62.373003000000004</v>
      </c>
      <c r="Y33" s="18">
        <v>59.665975000000003</v>
      </c>
      <c r="Z33" s="18">
        <v>56.663215000000001</v>
      </c>
      <c r="AA33" s="18">
        <v>56.073214999999998</v>
      </c>
      <c r="AB33" s="18"/>
      <c r="AC33" s="18">
        <v>16.343005000000002</v>
      </c>
      <c r="AD33" s="18">
        <v>17.518718</v>
      </c>
      <c r="AE33" s="18">
        <v>17.092585</v>
      </c>
      <c r="AF33" s="18">
        <v>17.336051000000001</v>
      </c>
      <c r="AG33" s="18">
        <v>16.942965000000001</v>
      </c>
      <c r="AH33" s="18">
        <v>17.370736999999998</v>
      </c>
      <c r="AI33" s="18">
        <v>16.528117999999999</v>
      </c>
      <c r="AJ33" s="18"/>
    </row>
    <row r="34" spans="1:50" ht="15.75" thickTop="1" x14ac:dyDescent="0.25">
      <c r="B34" s="19" t="s">
        <v>26</v>
      </c>
      <c r="Q34" s="11"/>
      <c r="T34" s="19" t="s">
        <v>26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50" x14ac:dyDescent="0.25"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</row>
    <row r="36" spans="1:50" x14ac:dyDescent="0.25"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</row>
    <row r="37" spans="1:50" x14ac:dyDescent="0.25"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</row>
    <row r="38" spans="1:50" x14ac:dyDescent="0.25"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</row>
    <row r="39" spans="1:50" x14ac:dyDescent="0.25"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</row>
    <row r="40" spans="1:50" x14ac:dyDescent="0.25"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</row>
    <row r="41" spans="1:50" x14ac:dyDescent="0.25"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</row>
    <row r="42" spans="1:50" x14ac:dyDescent="0.25"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</row>
    <row r="43" spans="1:50" x14ac:dyDescent="0.25"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</row>
    <row r="44" spans="1:50" x14ac:dyDescent="0.25"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</row>
    <row r="45" spans="1:50" x14ac:dyDescent="0.25"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</row>
    <row r="46" spans="1:50" x14ac:dyDescent="0.25"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</row>
    <row r="47" spans="1:50" x14ac:dyDescent="0.25"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43"/>
    </row>
    <row r="48" spans="1:50" x14ac:dyDescent="0.25"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43"/>
    </row>
    <row r="49" spans="35:50" x14ac:dyDescent="0.25"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43"/>
    </row>
    <row r="50" spans="35:50" x14ac:dyDescent="0.25"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</row>
    <row r="51" spans="35:50" x14ac:dyDescent="0.25"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</row>
  </sheetData>
  <mergeCells count="13">
    <mergeCell ref="T9:AJ9"/>
    <mergeCell ref="T10:AJ10"/>
    <mergeCell ref="T11:T13"/>
    <mergeCell ref="U11:AJ11"/>
    <mergeCell ref="U12:AA12"/>
    <mergeCell ref="B8:R8"/>
    <mergeCell ref="B9:R9"/>
    <mergeCell ref="B10:R10"/>
    <mergeCell ref="B11:B13"/>
    <mergeCell ref="C11:R11"/>
    <mergeCell ref="C12:I12"/>
    <mergeCell ref="K12:Q12"/>
    <mergeCell ref="AC12:A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DB04B-A087-4837-B291-ED251F2E74C4}">
  <dimension ref="A4:R46"/>
  <sheetViews>
    <sheetView zoomScaleNormal="100" workbookViewId="0">
      <selection activeCell="Z26" sqref="Z26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9.85546875" style="2" customWidth="1"/>
    <col min="17" max="17" width="9.5703125" style="2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customHeight="1" x14ac:dyDescent="0.25">
      <c r="A9" s="1"/>
      <c r="B9" s="70" t="s">
        <v>56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36">
        <v>48.826377150066698</v>
      </c>
      <c r="D15" s="36">
        <v>43.242243627415476</v>
      </c>
      <c r="E15" s="36">
        <v>45.452228379534731</v>
      </c>
      <c r="F15" s="36">
        <v>52.271976501728489</v>
      </c>
      <c r="G15" s="36">
        <v>49.544642664781698</v>
      </c>
      <c r="H15" s="36">
        <v>50.815566999999994</v>
      </c>
      <c r="I15" s="11">
        <v>52.632853000000004</v>
      </c>
      <c r="J15" s="11"/>
      <c r="K15" s="38">
        <v>857.58600000000001</v>
      </c>
      <c r="L15" s="38">
        <v>782.16700000000003</v>
      </c>
      <c r="M15" s="38">
        <v>843.49699999999996</v>
      </c>
      <c r="N15" s="38">
        <v>993.73</v>
      </c>
      <c r="O15" s="38">
        <v>965.85199999999998</v>
      </c>
      <c r="P15" s="38">
        <v>1013.33</v>
      </c>
      <c r="Q15" s="11">
        <v>1071.9770000000001</v>
      </c>
      <c r="R15" s="11"/>
    </row>
    <row r="16" spans="1:18" ht="15" customHeight="1" x14ac:dyDescent="0.25">
      <c r="B16" s="10" t="s">
        <v>6</v>
      </c>
      <c r="C16" s="36">
        <v>40.109963624438407</v>
      </c>
      <c r="D16" s="36">
        <v>36.30798931669176</v>
      </c>
      <c r="E16" s="36">
        <v>39.138252860779353</v>
      </c>
      <c r="F16" s="36">
        <v>44.420317756891357</v>
      </c>
      <c r="G16" s="36">
        <v>43.62592064050623</v>
      </c>
      <c r="H16" s="36">
        <v>43.445246999999995</v>
      </c>
      <c r="I16" s="11">
        <v>43.049441999999999</v>
      </c>
      <c r="J16" s="11"/>
      <c r="K16" s="38">
        <v>704.49099999999999</v>
      </c>
      <c r="L16" s="38">
        <v>656.74</v>
      </c>
      <c r="M16" s="38">
        <v>726.32299999999998</v>
      </c>
      <c r="N16" s="38">
        <v>844.46400000000006</v>
      </c>
      <c r="O16" s="38">
        <v>850.46900000000005</v>
      </c>
      <c r="P16" s="38">
        <v>866.35599999999999</v>
      </c>
      <c r="Q16" s="11">
        <v>876.79100000000005</v>
      </c>
      <c r="R16" s="11"/>
    </row>
    <row r="17" spans="2:18" ht="15" customHeight="1" x14ac:dyDescent="0.25">
      <c r="B17" s="10" t="s">
        <v>7</v>
      </c>
      <c r="C17" s="36">
        <v>8.7164135256282886</v>
      </c>
      <c r="D17" s="36">
        <v>6.9342543107237216</v>
      </c>
      <c r="E17" s="36">
        <v>6.3139755187553757</v>
      </c>
      <c r="F17" s="36">
        <v>7.8516587448371338</v>
      </c>
      <c r="G17" s="36">
        <v>5.9187220242754659</v>
      </c>
      <c r="H17" s="36">
        <v>7.3703208000000009</v>
      </c>
      <c r="I17" s="11">
        <v>9.5834109000000005</v>
      </c>
      <c r="J17" s="11"/>
      <c r="K17" s="38">
        <v>153.095</v>
      </c>
      <c r="L17" s="38">
        <v>125.42700000000001</v>
      </c>
      <c r="M17" s="38">
        <v>117.17400000000001</v>
      </c>
      <c r="N17" s="38">
        <v>149.26599999999999</v>
      </c>
      <c r="O17" s="38">
        <v>115.383</v>
      </c>
      <c r="P17" s="38">
        <v>146.97399999999999</v>
      </c>
      <c r="Q17" s="11">
        <v>195.18600000000001</v>
      </c>
      <c r="R17" s="11"/>
    </row>
    <row r="18" spans="2:18" ht="15" customHeight="1" x14ac:dyDescent="0.25">
      <c r="B18" s="10" t="s">
        <v>8</v>
      </c>
      <c r="C18" s="36">
        <v>34.127268348478907</v>
      </c>
      <c r="D18" s="36">
        <v>33.635061419071064</v>
      </c>
      <c r="E18" s="36">
        <v>32.044285230856111</v>
      </c>
      <c r="F18" s="36">
        <v>25.743263288790136</v>
      </c>
      <c r="G18" s="36">
        <v>24.394729201655025</v>
      </c>
      <c r="H18" s="36">
        <v>29.427776000000001</v>
      </c>
      <c r="I18" s="11">
        <v>24.070620000000002</v>
      </c>
      <c r="J18" s="11"/>
      <c r="K18" s="38">
        <v>599.41099999999994</v>
      </c>
      <c r="L18" s="38">
        <v>608.39200000000005</v>
      </c>
      <c r="M18" s="38">
        <v>594.67399999999998</v>
      </c>
      <c r="N18" s="38">
        <v>489.399</v>
      </c>
      <c r="O18" s="38">
        <v>475.565</v>
      </c>
      <c r="P18" s="38">
        <v>586.82899999999995</v>
      </c>
      <c r="Q18" s="11">
        <v>490.24799999999999</v>
      </c>
      <c r="R18" s="11"/>
    </row>
    <row r="19" spans="2:18" ht="15" customHeight="1" x14ac:dyDescent="0.25">
      <c r="B19" s="10" t="s">
        <v>9</v>
      </c>
      <c r="C19" s="36">
        <v>3.1365310501770951</v>
      </c>
      <c r="D19" s="36">
        <v>5.8375069037368919</v>
      </c>
      <c r="E19" s="36">
        <v>4.601118231177268</v>
      </c>
      <c r="F19" s="36">
        <v>6.141942773460924</v>
      </c>
      <c r="G19" s="36">
        <v>7.938770673694945</v>
      </c>
      <c r="H19" s="36">
        <v>5.7379823999999999</v>
      </c>
      <c r="I19" s="11">
        <v>8.5273924999999995</v>
      </c>
      <c r="J19" s="11"/>
      <c r="K19" s="38">
        <v>55.09</v>
      </c>
      <c r="L19" s="38">
        <v>105.589</v>
      </c>
      <c r="M19" s="38">
        <v>85.387</v>
      </c>
      <c r="N19" s="38">
        <v>116.76300000000001</v>
      </c>
      <c r="O19" s="38">
        <v>154.76300000000001</v>
      </c>
      <c r="P19" s="38">
        <v>114.423</v>
      </c>
      <c r="Q19" s="11">
        <v>173.678</v>
      </c>
      <c r="R19" s="11"/>
    </row>
    <row r="20" spans="2:18" ht="15" customHeight="1" x14ac:dyDescent="0.25">
      <c r="B20" s="10" t="s">
        <v>10</v>
      </c>
      <c r="C20" s="36">
        <v>13.909823451277301</v>
      </c>
      <c r="D20" s="36">
        <v>17.285188049776565</v>
      </c>
      <c r="E20" s="36">
        <v>17.902368158431887</v>
      </c>
      <c r="F20" s="36">
        <v>15.842817436020443</v>
      </c>
      <c r="G20" s="36">
        <v>18.12185745986833</v>
      </c>
      <c r="H20" s="36">
        <v>14.018674000000001</v>
      </c>
      <c r="I20" s="11">
        <v>14.769135</v>
      </c>
      <c r="J20" s="11"/>
      <c r="K20" s="38">
        <v>244.31200000000001</v>
      </c>
      <c r="L20" s="38">
        <v>312.65499999999997</v>
      </c>
      <c r="M20" s="38">
        <v>332.23</v>
      </c>
      <c r="N20" s="38">
        <v>301.18400000000003</v>
      </c>
      <c r="O20" s="38">
        <v>353.27800000000002</v>
      </c>
      <c r="P20" s="38">
        <v>279.55099999999999</v>
      </c>
      <c r="Q20" s="11">
        <v>300.80399999999997</v>
      </c>
      <c r="R20" s="11"/>
    </row>
    <row r="21" spans="2:18" x14ac:dyDescent="0.25">
      <c r="B21" s="12" t="s">
        <v>11</v>
      </c>
      <c r="C21" s="36"/>
      <c r="D21" s="36"/>
      <c r="E21" s="36"/>
      <c r="F21" s="36"/>
      <c r="G21" s="36"/>
      <c r="H21" s="36"/>
      <c r="J21" s="11"/>
      <c r="K21" s="38"/>
      <c r="L21" s="38"/>
      <c r="M21" s="38"/>
      <c r="N21" s="38"/>
      <c r="O21" s="38"/>
      <c r="P21" s="38"/>
      <c r="R21" s="11"/>
    </row>
    <row r="22" spans="2:18" x14ac:dyDescent="0.25">
      <c r="B22" s="13" t="s">
        <v>12</v>
      </c>
      <c r="C22" s="36">
        <v>82.953645498545598</v>
      </c>
      <c r="D22" s="36">
        <v>76.877305046486541</v>
      </c>
      <c r="E22" s="36">
        <v>77.496513610390835</v>
      </c>
      <c r="F22" s="36">
        <v>78.015239790518635</v>
      </c>
      <c r="G22" s="36">
        <v>73.939371866436716</v>
      </c>
      <c r="H22" s="36">
        <v>80.243344000000008</v>
      </c>
      <c r="I22" s="11">
        <v>76.703473000000002</v>
      </c>
      <c r="J22" s="11"/>
      <c r="K22" s="38">
        <v>1456.9970000000001</v>
      </c>
      <c r="L22" s="38">
        <v>1390.559</v>
      </c>
      <c r="M22" s="38">
        <v>1438.171</v>
      </c>
      <c r="N22" s="38">
        <v>1483.1289999999999</v>
      </c>
      <c r="O22" s="38">
        <v>1441.4169999999999</v>
      </c>
      <c r="P22" s="38">
        <v>1600.1590000000001</v>
      </c>
      <c r="Q22" s="11">
        <v>1562.2249999999999</v>
      </c>
      <c r="R22" s="11"/>
    </row>
    <row r="23" spans="2:18" x14ac:dyDescent="0.25">
      <c r="B23" s="13" t="s">
        <v>13</v>
      </c>
      <c r="C23" s="36">
        <v>33.695646604216925</v>
      </c>
      <c r="D23" s="36">
        <v>26.87617170029019</v>
      </c>
      <c r="E23" s="36">
        <v>25.817604165993096</v>
      </c>
      <c r="F23" s="36">
        <v>23.988783194359407</v>
      </c>
      <c r="G23" s="36">
        <v>17.260028171932916</v>
      </c>
      <c r="H23" s="36">
        <v>20.375420999999999</v>
      </c>
      <c r="I23" s="11">
        <v>22.208300000000001</v>
      </c>
      <c r="J23" s="11"/>
      <c r="K23" s="38">
        <v>591.83000000000004</v>
      </c>
      <c r="L23" s="38">
        <v>486.137</v>
      </c>
      <c r="M23" s="38">
        <v>479.12</v>
      </c>
      <c r="N23" s="38">
        <v>456.04500000000002</v>
      </c>
      <c r="O23" s="38">
        <v>336.47699999999998</v>
      </c>
      <c r="P23" s="38">
        <v>406.31299999999999</v>
      </c>
      <c r="Q23" s="11">
        <v>452.31799999999998</v>
      </c>
      <c r="R23" s="11"/>
    </row>
    <row r="24" spans="2:18" x14ac:dyDescent="0.25">
      <c r="B24" s="14" t="s">
        <v>14</v>
      </c>
      <c r="C24" s="36"/>
      <c r="D24" s="36"/>
      <c r="E24" s="36"/>
      <c r="F24" s="36"/>
      <c r="G24" s="36"/>
      <c r="H24" s="36"/>
      <c r="J24" s="11"/>
      <c r="K24" s="38"/>
      <c r="L24" s="38"/>
      <c r="M24" s="38"/>
      <c r="N24" s="38"/>
      <c r="O24" s="38"/>
      <c r="P24" s="38"/>
      <c r="R24" s="11"/>
    </row>
    <row r="25" spans="2:18" x14ac:dyDescent="0.25">
      <c r="B25" s="15" t="s">
        <v>15</v>
      </c>
      <c r="C25" s="36">
        <v>21.645252587823155</v>
      </c>
      <c r="D25" s="36">
        <v>19.267548760146905</v>
      </c>
      <c r="E25" s="36">
        <v>19.183279555638897</v>
      </c>
      <c r="F25" s="36">
        <v>16.557886165518894</v>
      </c>
      <c r="G25" s="36">
        <v>16.400404625285592</v>
      </c>
      <c r="H25" s="36">
        <v>16.904689999999999</v>
      </c>
      <c r="I25" s="11">
        <v>14.892863999999999</v>
      </c>
      <c r="J25" s="11"/>
      <c r="K25" s="38">
        <v>380.17700000000002</v>
      </c>
      <c r="L25" s="38">
        <v>348.512</v>
      </c>
      <c r="M25" s="38">
        <v>356.00099999999998</v>
      </c>
      <c r="N25" s="38">
        <v>314.77800000000002</v>
      </c>
      <c r="O25" s="38">
        <v>319.71899999999999</v>
      </c>
      <c r="P25" s="38">
        <v>337.10199999999998</v>
      </c>
      <c r="Q25" s="11">
        <v>303.32400000000001</v>
      </c>
      <c r="R25" s="11"/>
    </row>
    <row r="26" spans="2:18" x14ac:dyDescent="0.25">
      <c r="B26" s="13" t="s">
        <v>16</v>
      </c>
      <c r="C26" s="36">
        <v>38.412000917786905</v>
      </c>
      <c r="D26" s="36">
        <v>29.931341334573197</v>
      </c>
      <c r="E26" s="36">
        <v>22.299853215992343</v>
      </c>
      <c r="F26" s="36">
        <v>16.626426297528347</v>
      </c>
      <c r="G26" s="36">
        <v>15.042847806928899</v>
      </c>
      <c r="H26" s="36">
        <v>16.813171000000001</v>
      </c>
      <c r="I26" s="11">
        <v>31.771924000000002</v>
      </c>
      <c r="J26" s="11"/>
      <c r="K26" s="38">
        <v>674.66800000000001</v>
      </c>
      <c r="L26" s="38">
        <v>541.399</v>
      </c>
      <c r="M26" s="38">
        <v>413.83800000000002</v>
      </c>
      <c r="N26" s="38">
        <v>316.08100000000002</v>
      </c>
      <c r="O26" s="38">
        <v>293.25400000000002</v>
      </c>
      <c r="P26" s="38">
        <v>335.27699999999999</v>
      </c>
      <c r="Q26" s="11">
        <v>647.101</v>
      </c>
      <c r="R26" s="11"/>
    </row>
    <row r="27" spans="2:18" x14ac:dyDescent="0.25">
      <c r="B27" s="13" t="s">
        <v>17</v>
      </c>
      <c r="C27" s="36">
        <v>72.339713242833767</v>
      </c>
      <c r="D27" s="36">
        <v>64.592163989113232</v>
      </c>
      <c r="E27" s="36">
        <v>64.379875287478967</v>
      </c>
      <c r="F27" s="36">
        <v>66.195302028956235</v>
      </c>
      <c r="G27" s="36">
        <v>62.131371899266362</v>
      </c>
      <c r="H27" s="36">
        <v>66.504741999999993</v>
      </c>
      <c r="I27" s="11">
        <v>62.848607999999992</v>
      </c>
      <c r="J27" s="11"/>
      <c r="K27" s="38">
        <v>1270.5740000000001</v>
      </c>
      <c r="L27" s="38">
        <v>1168.345</v>
      </c>
      <c r="M27" s="38">
        <v>1194.7539999999999</v>
      </c>
      <c r="N27" s="38">
        <v>1258.423</v>
      </c>
      <c r="O27" s="38">
        <v>1211.2249999999999</v>
      </c>
      <c r="P27" s="38">
        <v>1326.193</v>
      </c>
      <c r="Q27" s="11">
        <v>1280.0419999999999</v>
      </c>
      <c r="R27" s="11"/>
    </row>
    <row r="28" spans="2:18" x14ac:dyDescent="0.25">
      <c r="B28" s="13" t="s">
        <v>18</v>
      </c>
      <c r="C28" s="36">
        <v>15.782689468623017</v>
      </c>
      <c r="D28" s="36">
        <v>15.742068096967996</v>
      </c>
      <c r="E28" s="36">
        <v>14.792045212060861</v>
      </c>
      <c r="F28" s="36">
        <v>13.423818932015344</v>
      </c>
      <c r="G28" s="36">
        <v>10.914726041802387</v>
      </c>
      <c r="H28" s="36">
        <v>11.294332000000001</v>
      </c>
      <c r="I28" s="11">
        <v>9.0565800999999997</v>
      </c>
      <c r="J28" s="11"/>
      <c r="K28" s="38">
        <v>277.20699999999999</v>
      </c>
      <c r="L28" s="38">
        <v>284.74299999999999</v>
      </c>
      <c r="M28" s="38">
        <v>274.50900000000001</v>
      </c>
      <c r="N28" s="38">
        <v>255.197</v>
      </c>
      <c r="O28" s="38">
        <v>212.77799999999999</v>
      </c>
      <c r="P28" s="38">
        <v>225.22399999999999</v>
      </c>
      <c r="Q28" s="11">
        <v>184.45599999999999</v>
      </c>
      <c r="R28" s="11"/>
    </row>
    <row r="29" spans="2:18" x14ac:dyDescent="0.25">
      <c r="B29" s="13" t="s">
        <v>19</v>
      </c>
      <c r="C29" s="36">
        <v>22.847143502131352</v>
      </c>
      <c r="D29" s="36">
        <v>20.553039772711568</v>
      </c>
      <c r="E29" s="36">
        <v>18.614734010565861</v>
      </c>
      <c r="F29" s="36">
        <v>24.614586686697429</v>
      </c>
      <c r="G29" s="36">
        <v>16.971229952120026</v>
      </c>
      <c r="H29" s="36">
        <v>19.926555</v>
      </c>
      <c r="I29" s="11">
        <v>17.931052000000001</v>
      </c>
      <c r="J29" s="11"/>
      <c r="K29" s="38">
        <v>401.28699999999998</v>
      </c>
      <c r="L29" s="38">
        <v>371.76400000000001</v>
      </c>
      <c r="M29" s="38">
        <v>345.45</v>
      </c>
      <c r="N29" s="38">
        <v>467.94200000000001</v>
      </c>
      <c r="O29" s="38">
        <v>330.84699999999998</v>
      </c>
      <c r="P29" s="38">
        <v>397.36200000000002</v>
      </c>
      <c r="Q29" s="11">
        <v>365.20299999999997</v>
      </c>
      <c r="R29" s="11"/>
    </row>
    <row r="30" spans="2:18" x14ac:dyDescent="0.25">
      <c r="B30" s="13" t="s">
        <v>20</v>
      </c>
      <c r="C30" s="36">
        <v>24.997452173452615</v>
      </c>
      <c r="D30" s="36">
        <v>21.963198866874944</v>
      </c>
      <c r="E30" s="36">
        <v>30.717032333434641</v>
      </c>
      <c r="F30" s="36">
        <v>26.850320555306574</v>
      </c>
      <c r="G30" s="36">
        <v>19.49880428303662</v>
      </c>
      <c r="H30" s="36">
        <v>24.59179</v>
      </c>
      <c r="I30" s="11">
        <v>23.13617</v>
      </c>
      <c r="J30" s="11"/>
      <c r="K30" s="38">
        <v>439.05500000000001</v>
      </c>
      <c r="L30" s="38">
        <v>397.27100000000002</v>
      </c>
      <c r="M30" s="38">
        <v>570.04300000000001</v>
      </c>
      <c r="N30" s="38">
        <v>510.44499999999999</v>
      </c>
      <c r="O30" s="38">
        <v>380.12099999999998</v>
      </c>
      <c r="P30" s="38">
        <v>490.39299999999997</v>
      </c>
      <c r="Q30" s="11">
        <v>471.21600000000001</v>
      </c>
      <c r="R30" s="11"/>
    </row>
    <row r="31" spans="2:18" x14ac:dyDescent="0.25">
      <c r="B31" s="7" t="s">
        <v>21</v>
      </c>
      <c r="C31" s="36"/>
      <c r="D31" s="36"/>
      <c r="E31" s="36"/>
      <c r="F31" s="36"/>
      <c r="G31" s="36"/>
      <c r="H31" s="36"/>
      <c r="J31" s="11"/>
      <c r="K31" s="38"/>
      <c r="L31" s="38"/>
      <c r="M31" s="38"/>
      <c r="N31" s="38"/>
      <c r="O31" s="38"/>
      <c r="P31" s="38"/>
      <c r="R31" s="11"/>
    </row>
    <row r="32" spans="2:18" ht="15" customHeight="1" x14ac:dyDescent="0.25">
      <c r="B32" s="15" t="s">
        <v>22</v>
      </c>
      <c r="C32" s="36">
        <v>17.529843731407272</v>
      </c>
      <c r="D32" s="36">
        <v>13.907429388385578</v>
      </c>
      <c r="E32" s="36">
        <v>15.023429400340987</v>
      </c>
      <c r="F32" s="36">
        <v>20.53268780416985</v>
      </c>
      <c r="G32" s="36">
        <v>16.412356665288506</v>
      </c>
      <c r="H32" s="36">
        <v>19.633645000000001</v>
      </c>
      <c r="I32" s="11">
        <v>25.494683000000002</v>
      </c>
      <c r="J32" s="11"/>
      <c r="K32" s="38">
        <v>307.89400000000001</v>
      </c>
      <c r="L32" s="38">
        <v>251.55799999999999</v>
      </c>
      <c r="M32" s="38">
        <v>278.803</v>
      </c>
      <c r="N32" s="38">
        <v>390.34199999999998</v>
      </c>
      <c r="O32" s="38">
        <v>319.952</v>
      </c>
      <c r="P32" s="38">
        <v>391.52100000000002</v>
      </c>
      <c r="Q32" s="11">
        <v>519.25199999999995</v>
      </c>
      <c r="R32" s="11"/>
    </row>
    <row r="33" spans="1:18" ht="15" customHeight="1" thickBot="1" x14ac:dyDescent="0.3">
      <c r="A33" s="17"/>
      <c r="B33" s="35" t="s">
        <v>23</v>
      </c>
      <c r="C33" s="37">
        <v>51.962908200243795</v>
      </c>
      <c r="D33" s="37">
        <v>49.079750531152371</v>
      </c>
      <c r="E33" s="37">
        <v>50.053346610712005</v>
      </c>
      <c r="F33" s="37">
        <v>58.413919275189421</v>
      </c>
      <c r="G33" s="37">
        <v>57.483413338476637</v>
      </c>
      <c r="H33" s="37">
        <v>56.553549999999994</v>
      </c>
      <c r="I33" s="37">
        <v>61.160245000000003</v>
      </c>
      <c r="J33" s="18"/>
      <c r="K33" s="39">
        <v>912.67600000000004</v>
      </c>
      <c r="L33" s="39">
        <v>887.75599999999997</v>
      </c>
      <c r="M33" s="39">
        <v>928.88400000000001</v>
      </c>
      <c r="N33" s="39">
        <v>1110.4929999999999</v>
      </c>
      <c r="O33" s="39">
        <v>1120.615</v>
      </c>
      <c r="P33" s="39">
        <v>1127.7529999999999</v>
      </c>
      <c r="Q33" s="47">
        <v>1245.655</v>
      </c>
      <c r="R33" s="18"/>
    </row>
    <row r="34" spans="1:18" ht="15.75" thickTop="1" x14ac:dyDescent="0.25">
      <c r="B34" s="19" t="s">
        <v>47</v>
      </c>
    </row>
    <row r="35" spans="1:18" x14ac:dyDescent="0.25">
      <c r="B35" s="19" t="s">
        <v>35</v>
      </c>
    </row>
    <row r="36" spans="1:18" x14ac:dyDescent="0.25">
      <c r="B36" s="27"/>
      <c r="C36" s="27"/>
      <c r="D36" s="29"/>
      <c r="E36" s="29"/>
    </row>
    <row r="37" spans="1:18" x14ac:dyDescent="0.25">
      <c r="B37" s="27"/>
      <c r="C37" s="28"/>
      <c r="D37" s="29"/>
      <c r="E37" s="29"/>
    </row>
    <row r="38" spans="1:18" x14ac:dyDescent="0.25">
      <c r="B38" s="80"/>
      <c r="C38" s="80"/>
      <c r="D38" s="80"/>
      <c r="E38" s="80"/>
    </row>
    <row r="39" spans="1:18" x14ac:dyDescent="0.25">
      <c r="B39" s="80"/>
      <c r="C39" s="80"/>
      <c r="D39" s="80"/>
      <c r="E39" s="80"/>
    </row>
    <row r="41" spans="1:18" x14ac:dyDescent="0.25">
      <c r="D41" s="46"/>
    </row>
    <row r="42" spans="1:18" x14ac:dyDescent="0.25">
      <c r="D42" s="46"/>
    </row>
    <row r="43" spans="1:18" x14ac:dyDescent="0.25">
      <c r="D43" s="46"/>
    </row>
    <row r="44" spans="1:18" x14ac:dyDescent="0.25">
      <c r="D44" s="46"/>
    </row>
    <row r="45" spans="1:18" x14ac:dyDescent="0.25">
      <c r="D45" s="46"/>
    </row>
    <row r="46" spans="1:18" x14ac:dyDescent="0.25">
      <c r="D46" s="46"/>
    </row>
  </sheetData>
  <mergeCells count="9">
    <mergeCell ref="B38:E38"/>
    <mergeCell ref="B39:E39"/>
    <mergeCell ref="B11:B13"/>
    <mergeCell ref="C11:R11"/>
    <mergeCell ref="B4:R4"/>
    <mergeCell ref="B9:R9"/>
    <mergeCell ref="B10:R10"/>
    <mergeCell ref="C12:I12"/>
    <mergeCell ref="K12:Q12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5F967-8EBB-45C2-A628-FF8528F5E2E4}">
  <dimension ref="A4:R49"/>
  <sheetViews>
    <sheetView topLeftCell="I19" zoomScaleNormal="100" workbookViewId="0">
      <selection activeCell="AA28" sqref="AA28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10.5703125" style="2" customWidth="1"/>
    <col min="17" max="17" width="7" style="2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customHeight="1" x14ac:dyDescent="0.25">
      <c r="A9" s="1"/>
      <c r="B9" s="70" t="s">
        <v>57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36">
        <v>41.74583703453041</v>
      </c>
      <c r="D15" s="36">
        <v>41.357299066853528</v>
      </c>
      <c r="E15" s="36">
        <v>47.625307795419076</v>
      </c>
      <c r="F15" s="36">
        <v>40.503312663023124</v>
      </c>
      <c r="G15" s="36">
        <v>37.525532256249264</v>
      </c>
      <c r="H15" s="36">
        <v>34.770426239468541</v>
      </c>
      <c r="I15" s="11">
        <v>30.535810000000001</v>
      </c>
      <c r="J15" s="11"/>
      <c r="K15" s="38">
        <v>444.11099999999999</v>
      </c>
      <c r="L15" s="38">
        <v>461.24099999999999</v>
      </c>
      <c r="M15" s="38">
        <v>553.548</v>
      </c>
      <c r="N15" s="38">
        <v>488.82799999999997</v>
      </c>
      <c r="O15" s="38">
        <v>470.13</v>
      </c>
      <c r="P15" s="38">
        <v>450.95400000000001</v>
      </c>
      <c r="Q15" s="11">
        <v>409.31</v>
      </c>
      <c r="R15" s="11"/>
    </row>
    <row r="16" spans="1:18" ht="15" customHeight="1" x14ac:dyDescent="0.25">
      <c r="B16" s="10" t="s">
        <v>6</v>
      </c>
      <c r="C16" s="36">
        <v>35.525099991070128</v>
      </c>
      <c r="D16" s="36">
        <v>33.047121789647065</v>
      </c>
      <c r="E16" s="36">
        <v>35.693083873498878</v>
      </c>
      <c r="F16" s="36">
        <v>32.040361791191202</v>
      </c>
      <c r="G16" s="36">
        <v>29.595387072596612</v>
      </c>
      <c r="H16" s="36">
        <v>28.891542985179814</v>
      </c>
      <c r="I16" s="11">
        <v>26.444060000000004</v>
      </c>
      <c r="J16" s="11"/>
      <c r="K16" s="38">
        <v>377.93200000000002</v>
      </c>
      <c r="L16" s="38">
        <v>368.56099999999998</v>
      </c>
      <c r="M16" s="38">
        <v>414.86</v>
      </c>
      <c r="N16" s="38">
        <v>386.69</v>
      </c>
      <c r="O16" s="38">
        <v>370.779</v>
      </c>
      <c r="P16" s="38">
        <v>374.70800000000003</v>
      </c>
      <c r="Q16" s="11">
        <v>354.46300000000002</v>
      </c>
      <c r="R16" s="11"/>
    </row>
    <row r="17" spans="2:18" ht="15" customHeight="1" x14ac:dyDescent="0.25">
      <c r="B17" s="10" t="s">
        <v>7</v>
      </c>
      <c r="C17" s="36">
        <v>6.2207370434602787</v>
      </c>
      <c r="D17" s="36">
        <v>8.3101772772064617</v>
      </c>
      <c r="E17" s="36">
        <v>11.932223921920196</v>
      </c>
      <c r="F17" s="36">
        <v>8.4629508718319251</v>
      </c>
      <c r="G17" s="36">
        <v>7.9301451836526509</v>
      </c>
      <c r="H17" s="36">
        <v>5.8788832542887253</v>
      </c>
      <c r="I17" s="11">
        <v>4.0917599999999998</v>
      </c>
      <c r="J17" s="11"/>
      <c r="K17" s="38">
        <v>66.179000000000002</v>
      </c>
      <c r="L17" s="38">
        <v>92.68</v>
      </c>
      <c r="M17" s="38">
        <v>138.68799999999999</v>
      </c>
      <c r="N17" s="38">
        <v>102.13800000000001</v>
      </c>
      <c r="O17" s="38">
        <v>99.350999999999999</v>
      </c>
      <c r="P17" s="38">
        <v>76.245999999999995</v>
      </c>
      <c r="Q17" s="11">
        <v>54.847000000000001</v>
      </c>
      <c r="R17" s="11"/>
    </row>
    <row r="18" spans="2:18" ht="15" customHeight="1" x14ac:dyDescent="0.25">
      <c r="B18" s="10" t="s">
        <v>8</v>
      </c>
      <c r="C18" s="36">
        <v>34.474571013634502</v>
      </c>
      <c r="D18" s="36">
        <v>33.436807055580815</v>
      </c>
      <c r="E18" s="36">
        <v>28.210407313787002</v>
      </c>
      <c r="F18" s="36">
        <v>29.446491957802074</v>
      </c>
      <c r="G18" s="36">
        <v>31.426605588800371</v>
      </c>
      <c r="H18" s="36">
        <v>35.93909388741406</v>
      </c>
      <c r="I18" s="11">
        <v>38.222250000000003</v>
      </c>
      <c r="J18" s="11"/>
      <c r="K18" s="38">
        <v>366.75599999999997</v>
      </c>
      <c r="L18" s="38">
        <v>372.90699999999998</v>
      </c>
      <c r="M18" s="38">
        <v>327.88900000000001</v>
      </c>
      <c r="N18" s="38">
        <v>355.38499999999999</v>
      </c>
      <c r="O18" s="38">
        <v>393.721</v>
      </c>
      <c r="P18" s="38">
        <v>466.11099999999999</v>
      </c>
      <c r="Q18" s="11">
        <v>512.34100000000001</v>
      </c>
      <c r="R18" s="11"/>
    </row>
    <row r="19" spans="2:18" ht="15" customHeight="1" x14ac:dyDescent="0.25">
      <c r="B19" s="10" t="s">
        <v>9</v>
      </c>
      <c r="C19" s="36">
        <v>4.3980091084697488</v>
      </c>
      <c r="D19" s="36">
        <v>4.316844786726671</v>
      </c>
      <c r="E19" s="36">
        <v>5.5620847665572857</v>
      </c>
      <c r="F19" s="36">
        <v>6.5119762959820502</v>
      </c>
      <c r="G19" s="36">
        <v>5.9757652094024154</v>
      </c>
      <c r="H19" s="36">
        <v>4.8968847609038768</v>
      </c>
      <c r="I19" s="11">
        <v>6.1722199999999994</v>
      </c>
      <c r="J19" s="11"/>
      <c r="K19" s="38">
        <v>46.787999999999997</v>
      </c>
      <c r="L19" s="38">
        <v>48.143999999999998</v>
      </c>
      <c r="M19" s="38">
        <v>64.647999999999996</v>
      </c>
      <c r="N19" s="38">
        <v>78.591999999999999</v>
      </c>
      <c r="O19" s="38">
        <v>74.866</v>
      </c>
      <c r="P19" s="38">
        <v>63.51</v>
      </c>
      <c r="Q19" s="11">
        <v>82.733999999999995</v>
      </c>
      <c r="R19" s="11"/>
    </row>
    <row r="20" spans="2:18" ht="15" customHeight="1" x14ac:dyDescent="0.25">
      <c r="B20" s="10" t="s">
        <v>10</v>
      </c>
      <c r="C20" s="36">
        <v>19.38158284336534</v>
      </c>
      <c r="D20" s="36">
        <v>20.889049090838991</v>
      </c>
      <c r="E20" s="36">
        <v>18.602200124236642</v>
      </c>
      <c r="F20" s="36">
        <v>23.53821908319275</v>
      </c>
      <c r="G20" s="36">
        <v>25.072096945547951</v>
      </c>
      <c r="H20" s="36">
        <v>24.393595112213529</v>
      </c>
      <c r="I20" s="11">
        <v>25.06972</v>
      </c>
      <c r="J20" s="11"/>
      <c r="K20" s="38">
        <v>206.19</v>
      </c>
      <c r="L20" s="38">
        <v>232.96700000000001</v>
      </c>
      <c r="M20" s="38">
        <v>216.21299999999999</v>
      </c>
      <c r="N20" s="38">
        <v>284.07900000000001</v>
      </c>
      <c r="O20" s="38">
        <v>314.11</v>
      </c>
      <c r="P20" s="38">
        <v>316.37200000000001</v>
      </c>
      <c r="Q20" s="11">
        <v>336.041</v>
      </c>
      <c r="R20" s="11"/>
    </row>
    <row r="21" spans="2:18" x14ac:dyDescent="0.25">
      <c r="B21" s="12" t="s">
        <v>11</v>
      </c>
      <c r="C21" s="36"/>
      <c r="D21" s="36"/>
      <c r="E21" s="36"/>
      <c r="F21" s="36"/>
      <c r="G21" s="36"/>
      <c r="H21" s="36"/>
      <c r="I21" s="11"/>
      <c r="J21" s="11"/>
      <c r="K21" s="38"/>
      <c r="L21" s="38"/>
      <c r="M21" s="38"/>
      <c r="N21" s="38"/>
      <c r="O21" s="38"/>
      <c r="P21" s="38"/>
      <c r="R21" s="11"/>
    </row>
    <row r="22" spans="2:18" x14ac:dyDescent="0.25">
      <c r="B22" s="13" t="s">
        <v>12</v>
      </c>
      <c r="C22" s="36">
        <v>76.220408048164913</v>
      </c>
      <c r="D22" s="36">
        <v>74.794106122434343</v>
      </c>
      <c r="E22" s="36">
        <v>75.835715109206063</v>
      </c>
      <c r="F22" s="36">
        <v>69.949804620825191</v>
      </c>
      <c r="G22" s="36">
        <v>68.952137845049634</v>
      </c>
      <c r="H22" s="36">
        <v>70.709520126882595</v>
      </c>
      <c r="I22" s="11">
        <v>68.758070000000004</v>
      </c>
      <c r="J22" s="11"/>
      <c r="K22" s="38">
        <v>810.86699999999996</v>
      </c>
      <c r="L22" s="38">
        <v>834.14800000000002</v>
      </c>
      <c r="M22" s="38">
        <v>881.43700000000001</v>
      </c>
      <c r="N22" s="38">
        <v>844.21299999999997</v>
      </c>
      <c r="O22" s="38">
        <v>863.851</v>
      </c>
      <c r="P22" s="38">
        <v>917.06500000000005</v>
      </c>
      <c r="Q22" s="11">
        <v>921.65099999999995</v>
      </c>
      <c r="R22" s="11"/>
    </row>
    <row r="23" spans="2:18" x14ac:dyDescent="0.25">
      <c r="B23" s="13" t="s">
        <v>13</v>
      </c>
      <c r="C23" s="36">
        <v>23.248405547800665</v>
      </c>
      <c r="D23" s="36">
        <v>21.926117610348808</v>
      </c>
      <c r="E23" s="36">
        <v>22.2019654167864</v>
      </c>
      <c r="F23" s="36">
        <v>17.924920704889615</v>
      </c>
      <c r="G23" s="36">
        <v>17.159831325474308</v>
      </c>
      <c r="H23" s="36">
        <v>16.085082890819749</v>
      </c>
      <c r="I23" s="11">
        <v>15.546329999999999</v>
      </c>
      <c r="J23" s="11"/>
      <c r="K23" s="38">
        <v>247.327</v>
      </c>
      <c r="L23" s="38">
        <v>244.53299999999999</v>
      </c>
      <c r="M23" s="38">
        <v>258.053</v>
      </c>
      <c r="N23" s="38">
        <v>216.333</v>
      </c>
      <c r="O23" s="38">
        <v>214.983</v>
      </c>
      <c r="P23" s="38">
        <v>208.61500000000001</v>
      </c>
      <c r="Q23" s="11">
        <v>208.387</v>
      </c>
      <c r="R23" s="11"/>
    </row>
    <row r="24" spans="2:18" ht="25.5" customHeight="1" x14ac:dyDescent="0.25">
      <c r="B24" s="14" t="s">
        <v>14</v>
      </c>
      <c r="C24" s="36"/>
      <c r="D24" s="36"/>
      <c r="E24" s="36"/>
      <c r="F24" s="36"/>
      <c r="G24" s="36"/>
      <c r="H24" s="36"/>
      <c r="I24" s="11"/>
      <c r="J24" s="11"/>
      <c r="K24" s="38"/>
      <c r="L24" s="38"/>
      <c r="M24" s="38"/>
      <c r="N24" s="38"/>
      <c r="O24" s="38"/>
      <c r="P24" s="38"/>
      <c r="R24" s="11"/>
    </row>
    <row r="25" spans="2:18" x14ac:dyDescent="0.25">
      <c r="B25" s="15" t="s">
        <v>15</v>
      </c>
      <c r="C25" s="36">
        <v>21.310811255399049</v>
      </c>
      <c r="D25" s="36">
        <v>20.234313285075483</v>
      </c>
      <c r="E25" s="36">
        <v>19.334370359408691</v>
      </c>
      <c r="F25" s="36">
        <v>17.362231995784185</v>
      </c>
      <c r="G25" s="36">
        <v>16.821795826558656</v>
      </c>
      <c r="H25" s="36">
        <v>17.016886580561888</v>
      </c>
      <c r="I25" s="11">
        <v>15.49694</v>
      </c>
      <c r="J25" s="11"/>
      <c r="K25" s="38">
        <v>226.714</v>
      </c>
      <c r="L25" s="38">
        <v>225.66499999999999</v>
      </c>
      <c r="M25" s="38">
        <v>224.72300000000001</v>
      </c>
      <c r="N25" s="38">
        <v>209.542</v>
      </c>
      <c r="O25" s="38">
        <v>210.74799999999999</v>
      </c>
      <c r="P25" s="38">
        <v>220.7</v>
      </c>
      <c r="Q25" s="11">
        <v>207.72499999999999</v>
      </c>
      <c r="R25" s="11"/>
    </row>
    <row r="26" spans="2:18" x14ac:dyDescent="0.25">
      <c r="B26" s="13" t="s">
        <v>16</v>
      </c>
      <c r="C26" s="36">
        <v>30.292758813548964</v>
      </c>
      <c r="D26" s="36">
        <v>22.838999730107535</v>
      </c>
      <c r="E26" s="36">
        <v>18.321635243285282</v>
      </c>
      <c r="F26" s="36">
        <v>16.262706275002405</v>
      </c>
      <c r="G26" s="36">
        <v>15.049244628348527</v>
      </c>
      <c r="H26" s="36">
        <v>13.654528673877961</v>
      </c>
      <c r="I26" s="11">
        <v>24.729599999999998</v>
      </c>
      <c r="J26" s="11"/>
      <c r="K26" s="38">
        <v>322.26799999999997</v>
      </c>
      <c r="L26" s="38">
        <v>254.714</v>
      </c>
      <c r="M26" s="38">
        <v>212.952</v>
      </c>
      <c r="N26" s="38">
        <v>196.27199999999999</v>
      </c>
      <c r="O26" s="38">
        <v>188.541</v>
      </c>
      <c r="P26" s="38">
        <v>177.09200000000001</v>
      </c>
      <c r="Q26" s="11">
        <v>331.48200000000003</v>
      </c>
      <c r="R26" s="11"/>
    </row>
    <row r="27" spans="2:18" x14ac:dyDescent="0.25">
      <c r="B27" s="13" t="s">
        <v>17</v>
      </c>
      <c r="C27" s="36">
        <v>66.192819442681966</v>
      </c>
      <c r="D27" s="36">
        <v>61.73570444174851</v>
      </c>
      <c r="E27" s="36">
        <v>62.558655353446355</v>
      </c>
      <c r="F27" s="36">
        <v>54.354105282694945</v>
      </c>
      <c r="G27" s="36">
        <v>55.780885948339233</v>
      </c>
      <c r="H27" s="36">
        <v>56.075614500823853</v>
      </c>
      <c r="I27" s="11">
        <v>52.242049999999992</v>
      </c>
      <c r="J27" s="11"/>
      <c r="K27" s="38">
        <v>704.18899999999996</v>
      </c>
      <c r="L27" s="38">
        <v>688.51300000000003</v>
      </c>
      <c r="M27" s="38">
        <v>727.11800000000005</v>
      </c>
      <c r="N27" s="38">
        <v>655.99099999999999</v>
      </c>
      <c r="O27" s="38">
        <v>698.83799999999997</v>
      </c>
      <c r="P27" s="38">
        <v>727.27099999999996</v>
      </c>
      <c r="Q27" s="11">
        <v>700.26599999999996</v>
      </c>
      <c r="R27" s="11"/>
    </row>
    <row r="28" spans="2:18" x14ac:dyDescent="0.25">
      <c r="B28" s="13" t="s">
        <v>18</v>
      </c>
      <c r="C28" s="36">
        <v>12.440910094985641</v>
      </c>
      <c r="D28" s="36">
        <v>12.784205283257071</v>
      </c>
      <c r="E28" s="36">
        <v>11.856425804741985</v>
      </c>
      <c r="F28" s="36">
        <v>10.11505662516033</v>
      </c>
      <c r="G28" s="36">
        <v>9.6620682664086903</v>
      </c>
      <c r="H28" s="36">
        <v>11.872805904944459</v>
      </c>
      <c r="I28" s="11">
        <v>7.1628700000000007</v>
      </c>
      <c r="J28" s="11"/>
      <c r="K28" s="38">
        <v>132.352</v>
      </c>
      <c r="L28" s="38">
        <v>142.577</v>
      </c>
      <c r="M28" s="38">
        <v>137.80699999999999</v>
      </c>
      <c r="N28" s="38">
        <v>122.077</v>
      </c>
      <c r="O28" s="38">
        <v>121.04900000000001</v>
      </c>
      <c r="P28" s="38">
        <v>153.98400000000001</v>
      </c>
      <c r="Q28" s="11">
        <v>96.013000000000005</v>
      </c>
      <c r="R28" s="11"/>
    </row>
    <row r="29" spans="2:18" x14ac:dyDescent="0.25">
      <c r="B29" s="13" t="s">
        <v>19</v>
      </c>
      <c r="C29" s="36">
        <v>14.944752290042251</v>
      </c>
      <c r="D29" s="36">
        <v>16.444251962996937</v>
      </c>
      <c r="E29" s="36">
        <v>19.636358317746396</v>
      </c>
      <c r="F29" s="36">
        <v>15.310170654346233</v>
      </c>
      <c r="G29" s="36">
        <v>18.194371609168705</v>
      </c>
      <c r="H29" s="36">
        <v>17.228151959949017</v>
      </c>
      <c r="I29" s="11">
        <v>11.78931</v>
      </c>
      <c r="J29" s="11"/>
      <c r="K29" s="38">
        <v>158.989</v>
      </c>
      <c r="L29" s="38">
        <v>183.39599999999999</v>
      </c>
      <c r="M29" s="38">
        <v>228.233</v>
      </c>
      <c r="N29" s="38">
        <v>184.77600000000001</v>
      </c>
      <c r="O29" s="38">
        <v>227.94399999999999</v>
      </c>
      <c r="P29" s="38">
        <v>223.44</v>
      </c>
      <c r="Q29" s="11">
        <v>158.02699999999999</v>
      </c>
      <c r="R29" s="11"/>
    </row>
    <row r="30" spans="2:18" x14ac:dyDescent="0.25">
      <c r="B30" s="13" t="s">
        <v>20</v>
      </c>
      <c r="C30" s="36">
        <v>18.176802071730375</v>
      </c>
      <c r="D30" s="36">
        <v>23.63352369270277</v>
      </c>
      <c r="E30" s="36">
        <v>28.783754252351805</v>
      </c>
      <c r="F30" s="36">
        <v>24.136785308281492</v>
      </c>
      <c r="G30" s="36">
        <v>19.930684763339233</v>
      </c>
      <c r="H30" s="36">
        <v>18.904010726729776</v>
      </c>
      <c r="I30" s="11">
        <v>19.79729</v>
      </c>
      <c r="J30" s="11"/>
      <c r="K30" s="38">
        <v>193.37299999999999</v>
      </c>
      <c r="L30" s="38">
        <v>263.57499999999999</v>
      </c>
      <c r="M30" s="38">
        <v>334.553</v>
      </c>
      <c r="N30" s="38">
        <v>291.303</v>
      </c>
      <c r="O30" s="38">
        <v>249.697</v>
      </c>
      <c r="P30" s="38">
        <v>245.17500000000001</v>
      </c>
      <c r="Q30" s="11">
        <v>265.36799999999999</v>
      </c>
      <c r="R30" s="11"/>
    </row>
    <row r="31" spans="2:18" x14ac:dyDescent="0.25">
      <c r="B31" s="7" t="s">
        <v>21</v>
      </c>
      <c r="C31" s="36"/>
      <c r="D31" s="36"/>
      <c r="E31" s="36"/>
      <c r="F31" s="36"/>
      <c r="G31" s="36"/>
      <c r="H31" s="36"/>
      <c r="I31" s="11"/>
      <c r="J31" s="11"/>
      <c r="K31" s="38"/>
      <c r="L31" s="38"/>
      <c r="M31" s="38"/>
      <c r="N31" s="38"/>
      <c r="O31" s="38"/>
      <c r="P31" s="38"/>
      <c r="R31" s="11"/>
    </row>
    <row r="32" spans="2:18" ht="15" customHeight="1" x14ac:dyDescent="0.25">
      <c r="B32" s="15" t="s">
        <v>22</v>
      </c>
      <c r="C32" s="36">
        <v>14.428323674971447</v>
      </c>
      <c r="D32" s="36">
        <v>17.774256921486401</v>
      </c>
      <c r="E32" s="36">
        <v>23.395291052724858</v>
      </c>
      <c r="F32" s="36">
        <v>18.800398381286023</v>
      </c>
      <c r="G32" s="36">
        <v>16.425332468090168</v>
      </c>
      <c r="H32" s="36">
        <v>13.46176829122547</v>
      </c>
      <c r="I32" s="11">
        <v>11.710610000000001</v>
      </c>
      <c r="J32" s="11"/>
      <c r="K32" s="38">
        <v>153.495</v>
      </c>
      <c r="L32" s="38">
        <v>198.22900000000001</v>
      </c>
      <c r="M32" s="38">
        <v>271.923</v>
      </c>
      <c r="N32" s="38">
        <v>226.899</v>
      </c>
      <c r="O32" s="38">
        <v>205.78100000000001</v>
      </c>
      <c r="P32" s="38">
        <v>174.59200000000001</v>
      </c>
      <c r="Q32" s="11">
        <v>156.97200000000001</v>
      </c>
      <c r="R32" s="11"/>
    </row>
    <row r="33" spans="1:18" ht="15" customHeight="1" thickBot="1" x14ac:dyDescent="0.3">
      <c r="A33" s="17"/>
      <c r="B33" s="35" t="s">
        <v>23</v>
      </c>
      <c r="C33" s="37">
        <v>46.143846143000154</v>
      </c>
      <c r="D33" s="37">
        <v>45.674143853580205</v>
      </c>
      <c r="E33" s="37">
        <v>53.187392561976367</v>
      </c>
      <c r="F33" s="37">
        <v>47.015288959005176</v>
      </c>
      <c r="G33" s="37">
        <v>43.501297465651682</v>
      </c>
      <c r="H33" s="37">
        <v>39.667311000372415</v>
      </c>
      <c r="I33" s="37">
        <v>36.708030000000001</v>
      </c>
      <c r="J33" s="18"/>
      <c r="K33" s="39">
        <v>490.899</v>
      </c>
      <c r="L33" s="39">
        <v>509.38499999999999</v>
      </c>
      <c r="M33" s="39">
        <v>618.19600000000003</v>
      </c>
      <c r="N33" s="39">
        <v>567.41999999999996</v>
      </c>
      <c r="O33" s="39">
        <v>544.99599999999998</v>
      </c>
      <c r="P33" s="39">
        <v>514.46400000000006</v>
      </c>
      <c r="Q33" s="47">
        <v>492.04399999999998</v>
      </c>
      <c r="R33" s="18"/>
    </row>
    <row r="34" spans="1:18" ht="15.75" thickTop="1" x14ac:dyDescent="0.25">
      <c r="B34" s="19" t="s">
        <v>47</v>
      </c>
    </row>
    <row r="35" spans="1:18" x14ac:dyDescent="0.25">
      <c r="B35" s="19" t="s">
        <v>35</v>
      </c>
    </row>
    <row r="36" spans="1:18" x14ac:dyDescent="0.25">
      <c r="B36" s="27"/>
      <c r="C36" s="27"/>
      <c r="D36" s="29"/>
      <c r="E36" s="29"/>
    </row>
    <row r="37" spans="1:18" x14ac:dyDescent="0.25">
      <c r="B37" s="27"/>
      <c r="C37" s="28"/>
      <c r="D37" s="29"/>
      <c r="E37" s="29"/>
    </row>
    <row r="38" spans="1:18" x14ac:dyDescent="0.25">
      <c r="B38" s="80"/>
      <c r="C38" s="80"/>
      <c r="D38" s="80"/>
      <c r="E38" s="80"/>
    </row>
    <row r="39" spans="1:18" x14ac:dyDescent="0.25">
      <c r="B39" s="80"/>
      <c r="C39" s="80"/>
      <c r="D39" s="80"/>
      <c r="E39" s="80"/>
    </row>
    <row r="44" spans="1:18" x14ac:dyDescent="0.25">
      <c r="F44" s="46"/>
    </row>
    <row r="45" spans="1:18" x14ac:dyDescent="0.25">
      <c r="F45" s="46"/>
    </row>
    <row r="46" spans="1:18" x14ac:dyDescent="0.25">
      <c r="F46" s="46"/>
    </row>
    <row r="47" spans="1:18" x14ac:dyDescent="0.25">
      <c r="F47" s="46"/>
    </row>
    <row r="48" spans="1:18" x14ac:dyDescent="0.25">
      <c r="F48" s="46"/>
    </row>
    <row r="49" spans="6:6" x14ac:dyDescent="0.25">
      <c r="F49" s="46"/>
    </row>
  </sheetData>
  <mergeCells count="9">
    <mergeCell ref="B38:E38"/>
    <mergeCell ref="B39:E39"/>
    <mergeCell ref="B11:B13"/>
    <mergeCell ref="C11:R11"/>
    <mergeCell ref="B4:R4"/>
    <mergeCell ref="B9:R9"/>
    <mergeCell ref="B10:R10"/>
    <mergeCell ref="C12:I12"/>
    <mergeCell ref="K12:Q1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5F17E-3410-4816-B7B5-765BCDD6D8B3}">
  <dimension ref="A4:R48"/>
  <sheetViews>
    <sheetView workbookViewId="0">
      <selection activeCell="P2" sqref="P2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10.5703125" style="2" customWidth="1"/>
    <col min="17" max="17" width="9" style="2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customHeight="1" x14ac:dyDescent="0.25">
      <c r="A9" s="1"/>
      <c r="B9" s="70" t="s">
        <v>58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36">
        <v>21.365400006521767</v>
      </c>
      <c r="D15" s="36">
        <v>21.017552476935002</v>
      </c>
      <c r="E15" s="36">
        <v>23.246786025752833</v>
      </c>
      <c r="F15" s="36">
        <v>20.366180797960542</v>
      </c>
      <c r="G15" s="36">
        <v>14.245565186496773</v>
      </c>
      <c r="H15" s="36">
        <v>14.527048930327377</v>
      </c>
      <c r="I15" s="11">
        <v>19.697490000000002</v>
      </c>
      <c r="J15" s="11"/>
      <c r="K15" s="38">
        <v>976.25199999999995</v>
      </c>
      <c r="L15" s="38">
        <v>994.42700000000002</v>
      </c>
      <c r="M15" s="38">
        <v>1132.874</v>
      </c>
      <c r="N15" s="38">
        <v>1022.734</v>
      </c>
      <c r="O15" s="38">
        <v>737.76499999999999</v>
      </c>
      <c r="P15" s="38">
        <v>773.02800000000002</v>
      </c>
      <c r="Q15" s="11">
        <v>1075.5609999999999</v>
      </c>
      <c r="R15" s="11"/>
    </row>
    <row r="16" spans="1:18" ht="15" customHeight="1" x14ac:dyDescent="0.25">
      <c r="B16" s="10" t="s">
        <v>6</v>
      </c>
      <c r="C16" s="36">
        <v>18.767416458447912</v>
      </c>
      <c r="D16" s="36">
        <v>19.191776154771556</v>
      </c>
      <c r="E16" s="36">
        <v>20.835048478941161</v>
      </c>
      <c r="F16" s="36">
        <v>19.037693606203604</v>
      </c>
      <c r="G16" s="36">
        <v>13.63750287222601</v>
      </c>
      <c r="H16" s="36">
        <v>14.052860381324042</v>
      </c>
      <c r="I16" s="11">
        <v>18.240159999999999</v>
      </c>
      <c r="J16" s="11"/>
      <c r="K16" s="38">
        <v>857.54200000000003</v>
      </c>
      <c r="L16" s="38">
        <v>908.04200000000003</v>
      </c>
      <c r="M16" s="38">
        <v>1015.3440000000001</v>
      </c>
      <c r="N16" s="38">
        <v>956.02099999999996</v>
      </c>
      <c r="O16" s="38">
        <v>706.274</v>
      </c>
      <c r="P16" s="38">
        <v>747.79499999999996</v>
      </c>
      <c r="Q16" s="11">
        <v>995.98500000000001</v>
      </c>
      <c r="R16" s="11"/>
    </row>
    <row r="17" spans="2:18" ht="15" customHeight="1" x14ac:dyDescent="0.25">
      <c r="B17" s="10" t="s">
        <v>7</v>
      </c>
      <c r="C17" s="36">
        <v>2.5979835480738571</v>
      </c>
      <c r="D17" s="36">
        <v>1.8257763221634471</v>
      </c>
      <c r="E17" s="36">
        <v>2.411737546811676</v>
      </c>
      <c r="F17" s="36">
        <v>1.3284871917569394</v>
      </c>
      <c r="G17" s="36">
        <v>0.60806231427076352</v>
      </c>
      <c r="H17" s="36">
        <v>0.47418854900333579</v>
      </c>
      <c r="I17" s="11">
        <v>1.45733</v>
      </c>
      <c r="J17" s="11"/>
      <c r="K17" s="38">
        <v>118.71</v>
      </c>
      <c r="L17" s="38">
        <v>86.385000000000005</v>
      </c>
      <c r="M17" s="38">
        <v>117.53</v>
      </c>
      <c r="N17" s="38">
        <v>66.712999999999994</v>
      </c>
      <c r="O17" s="38">
        <v>31.491</v>
      </c>
      <c r="P17" s="38">
        <v>25.233000000000001</v>
      </c>
      <c r="Q17" s="11">
        <v>79.575999999999993</v>
      </c>
      <c r="R17" s="11"/>
    </row>
    <row r="18" spans="2:18" ht="15" customHeight="1" x14ac:dyDescent="0.25">
      <c r="B18" s="10" t="s">
        <v>8</v>
      </c>
      <c r="C18" s="36">
        <v>36.489095844386235</v>
      </c>
      <c r="D18" s="36">
        <v>31.628211620547948</v>
      </c>
      <c r="E18" s="36">
        <v>29.099143282203865</v>
      </c>
      <c r="F18" s="36">
        <v>28.012773294924237</v>
      </c>
      <c r="G18" s="36">
        <v>34.573665114860077</v>
      </c>
      <c r="H18" s="36">
        <v>34.441671313086779</v>
      </c>
      <c r="I18" s="11">
        <v>33.320489999999999</v>
      </c>
      <c r="J18" s="11"/>
      <c r="K18" s="38">
        <v>1667.3009999999999</v>
      </c>
      <c r="L18" s="38">
        <v>1496.461</v>
      </c>
      <c r="M18" s="38">
        <v>1418.0740000000001</v>
      </c>
      <c r="N18" s="38">
        <v>1406.7249999999999</v>
      </c>
      <c r="O18" s="38">
        <v>1790.539</v>
      </c>
      <c r="P18" s="38">
        <v>1832.7449999999999</v>
      </c>
      <c r="Q18" s="11">
        <v>1819.431</v>
      </c>
      <c r="R18" s="11"/>
    </row>
    <row r="19" spans="2:18" ht="15" customHeight="1" x14ac:dyDescent="0.25">
      <c r="B19" s="10" t="s">
        <v>9</v>
      </c>
      <c r="C19" s="36">
        <v>7.2300803206083719</v>
      </c>
      <c r="D19" s="36">
        <v>8.207253986759131</v>
      </c>
      <c r="E19" s="36">
        <v>8.4214846355101827</v>
      </c>
      <c r="F19" s="36">
        <v>9.1249882759457055</v>
      </c>
      <c r="G19" s="36">
        <v>5.3278585648331402</v>
      </c>
      <c r="H19" s="36">
        <v>6.5789174489471653</v>
      </c>
      <c r="I19" s="11">
        <v>6.37364</v>
      </c>
      <c r="J19" s="11"/>
      <c r="K19" s="38">
        <v>330.36500000000001</v>
      </c>
      <c r="L19" s="38">
        <v>388.31900000000002</v>
      </c>
      <c r="M19" s="38">
        <v>410.4</v>
      </c>
      <c r="N19" s="38">
        <v>458.23200000000003</v>
      </c>
      <c r="O19" s="38">
        <v>275.92500000000001</v>
      </c>
      <c r="P19" s="38">
        <v>350.084</v>
      </c>
      <c r="Q19" s="11">
        <v>348.02600000000001</v>
      </c>
      <c r="R19" s="11"/>
    </row>
    <row r="20" spans="2:18" ht="15" customHeight="1" x14ac:dyDescent="0.25">
      <c r="B20" s="10" t="s">
        <v>10</v>
      </c>
      <c r="C20" s="36">
        <v>34.915423828483625</v>
      </c>
      <c r="D20" s="36">
        <v>39.14698191575792</v>
      </c>
      <c r="E20" s="36">
        <v>39.232586056533115</v>
      </c>
      <c r="F20" s="36">
        <v>42.496057631169514</v>
      </c>
      <c r="G20" s="36">
        <v>45.852911133810011</v>
      </c>
      <c r="H20" s="36">
        <v>44.45236230763868</v>
      </c>
      <c r="I20" s="11">
        <v>40.608379999999997</v>
      </c>
      <c r="J20" s="11"/>
      <c r="K20" s="38">
        <v>1595.395</v>
      </c>
      <c r="L20" s="38">
        <v>1852.2049999999999</v>
      </c>
      <c r="M20" s="38">
        <v>1911.902</v>
      </c>
      <c r="N20" s="38">
        <v>2134.0360000000001</v>
      </c>
      <c r="O20" s="38">
        <v>2374.681</v>
      </c>
      <c r="P20" s="38">
        <v>2365.444</v>
      </c>
      <c r="Q20" s="11">
        <v>2217.3789999999999</v>
      </c>
      <c r="R20" s="11"/>
    </row>
    <row r="21" spans="2:18" x14ac:dyDescent="0.25">
      <c r="B21" s="12" t="s">
        <v>11</v>
      </c>
      <c r="C21" s="36"/>
      <c r="D21" s="36"/>
      <c r="E21" s="36"/>
      <c r="F21" s="36"/>
      <c r="G21" s="36"/>
      <c r="H21" s="36"/>
      <c r="I21" s="11"/>
      <c r="J21" s="11"/>
      <c r="K21" s="38"/>
      <c r="L21" s="38"/>
      <c r="M21" s="38"/>
      <c r="N21" s="38"/>
      <c r="O21" s="38"/>
      <c r="P21" s="38"/>
      <c r="R21" s="11"/>
    </row>
    <row r="22" spans="2:18" x14ac:dyDescent="0.25">
      <c r="B22" s="13" t="s">
        <v>12</v>
      </c>
      <c r="C22" s="36">
        <v>57.854495850908009</v>
      </c>
      <c r="D22" s="36">
        <v>52.645764097482953</v>
      </c>
      <c r="E22" s="36">
        <v>52.345929307956709</v>
      </c>
      <c r="F22" s="36">
        <v>48.378954092884783</v>
      </c>
      <c r="G22" s="36">
        <v>48.819230301356846</v>
      </c>
      <c r="H22" s="36">
        <v>48.968720243414161</v>
      </c>
      <c r="I22" s="11">
        <v>53.017979999999994</v>
      </c>
      <c r="J22" s="11"/>
      <c r="K22" s="38">
        <v>2643.5529999999999</v>
      </c>
      <c r="L22" s="38">
        <v>2490.8879999999999</v>
      </c>
      <c r="M22" s="38">
        <v>2550.9479999999999</v>
      </c>
      <c r="N22" s="38">
        <v>2429.4589999999998</v>
      </c>
      <c r="O22" s="38">
        <v>2528.3040000000001</v>
      </c>
      <c r="P22" s="38">
        <v>2605.7730000000001</v>
      </c>
      <c r="Q22" s="11">
        <v>2894.9920000000002</v>
      </c>
      <c r="R22" s="11"/>
    </row>
    <row r="23" spans="2:18" x14ac:dyDescent="0.25">
      <c r="B23" s="13" t="s">
        <v>13</v>
      </c>
      <c r="C23" s="36">
        <v>12.190672864826725</v>
      </c>
      <c r="D23" s="36">
        <v>9.4019713354068521</v>
      </c>
      <c r="E23" s="36">
        <v>9.3236751654440049</v>
      </c>
      <c r="F23" s="36">
        <v>6.6563952998639708</v>
      </c>
      <c r="G23" s="36">
        <v>6.6609769237156087</v>
      </c>
      <c r="H23" s="36">
        <v>4.3740994918347971</v>
      </c>
      <c r="I23" s="11">
        <v>8.09802</v>
      </c>
      <c r="J23" s="11"/>
      <c r="K23" s="38">
        <v>557.03</v>
      </c>
      <c r="L23" s="38">
        <v>444.846</v>
      </c>
      <c r="M23" s="38">
        <v>454.36599999999999</v>
      </c>
      <c r="N23" s="38">
        <v>334.26600000000002</v>
      </c>
      <c r="O23" s="38">
        <v>344.96600000000001</v>
      </c>
      <c r="P23" s="38">
        <v>232.75899999999999</v>
      </c>
      <c r="Q23" s="11">
        <v>442.18400000000003</v>
      </c>
      <c r="R23" s="11"/>
    </row>
    <row r="24" spans="2:18" ht="25.5" customHeight="1" x14ac:dyDescent="0.25">
      <c r="B24" s="14" t="s">
        <v>14</v>
      </c>
      <c r="C24" s="36"/>
      <c r="D24" s="36"/>
      <c r="E24" s="36"/>
      <c r="F24" s="36"/>
      <c r="G24" s="36"/>
      <c r="H24" s="36"/>
      <c r="I24" s="11"/>
      <c r="J24" s="11"/>
      <c r="K24" s="38"/>
      <c r="L24" s="38"/>
      <c r="M24" s="38"/>
      <c r="N24" s="38"/>
      <c r="O24" s="38"/>
      <c r="P24" s="38"/>
      <c r="R24" s="11"/>
    </row>
    <row r="25" spans="2:18" x14ac:dyDescent="0.25">
      <c r="B25" s="15" t="s">
        <v>15</v>
      </c>
      <c r="C25" s="36">
        <v>15.002977471668061</v>
      </c>
      <c r="D25" s="36">
        <v>13.112090006112339</v>
      </c>
      <c r="E25" s="36">
        <v>12.683855743087264</v>
      </c>
      <c r="F25" s="36">
        <v>10.777626900068443</v>
      </c>
      <c r="G25" s="36">
        <v>10.683541517423551</v>
      </c>
      <c r="H25" s="36">
        <v>10.112808878881312</v>
      </c>
      <c r="I25" s="11">
        <v>10.598420000000001</v>
      </c>
      <c r="J25" s="11"/>
      <c r="K25" s="38">
        <v>685.53300000000002</v>
      </c>
      <c r="L25" s="38">
        <v>620.38699999999994</v>
      </c>
      <c r="M25" s="38">
        <v>618.11599999999999</v>
      </c>
      <c r="N25" s="38">
        <v>541.22299999999996</v>
      </c>
      <c r="O25" s="38">
        <v>553.29100000000005</v>
      </c>
      <c r="P25" s="38">
        <v>538.13300000000004</v>
      </c>
      <c r="Q25" s="11">
        <v>578.71600000000001</v>
      </c>
      <c r="R25" s="11"/>
    </row>
    <row r="26" spans="2:18" x14ac:dyDescent="0.25">
      <c r="B26" s="13" t="s">
        <v>16</v>
      </c>
      <c r="C26" s="36">
        <v>24.815415358939081</v>
      </c>
      <c r="D26" s="36">
        <v>18.604720958563746</v>
      </c>
      <c r="E26" s="36">
        <v>15.497829990252912</v>
      </c>
      <c r="F26" s="36">
        <v>13.666832147585881</v>
      </c>
      <c r="G26" s="36">
        <v>13.324406100897679</v>
      </c>
      <c r="H26" s="36">
        <v>12.959781827789858</v>
      </c>
      <c r="I26" s="11">
        <v>21.524090000000001</v>
      </c>
      <c r="J26" s="11"/>
      <c r="K26" s="38">
        <v>1133.894</v>
      </c>
      <c r="L26" s="38">
        <v>880.26599999999996</v>
      </c>
      <c r="M26" s="38">
        <v>755.24800000000005</v>
      </c>
      <c r="N26" s="38">
        <v>686.31100000000004</v>
      </c>
      <c r="O26" s="38">
        <v>690.05899999999997</v>
      </c>
      <c r="P26" s="38">
        <v>689.62900000000002</v>
      </c>
      <c r="Q26" s="11">
        <v>1175.3009999999999</v>
      </c>
      <c r="R26" s="11"/>
    </row>
    <row r="27" spans="2:18" x14ac:dyDescent="0.25">
      <c r="B27" s="13" t="s">
        <v>17</v>
      </c>
      <c r="C27" s="36">
        <v>44.29696543003292</v>
      </c>
      <c r="D27" s="36">
        <v>37.185051735084578</v>
      </c>
      <c r="E27" s="36">
        <v>36.99204842764069</v>
      </c>
      <c r="F27" s="36">
        <v>33.436066914828302</v>
      </c>
      <c r="G27" s="36">
        <v>33.637232545072223</v>
      </c>
      <c r="H27" s="36">
        <v>34.573048959267666</v>
      </c>
      <c r="I27" s="11">
        <v>38.93488</v>
      </c>
      <c r="J27" s="11"/>
      <c r="K27" s="38">
        <v>2024.067</v>
      </c>
      <c r="L27" s="38">
        <v>1759.3779999999999</v>
      </c>
      <c r="M27" s="38">
        <v>1802.7149999999999</v>
      </c>
      <c r="N27" s="38">
        <v>1679.068</v>
      </c>
      <c r="O27" s="38">
        <v>1742.0419999999999</v>
      </c>
      <c r="P27" s="38">
        <v>1839.7360000000001</v>
      </c>
      <c r="Q27" s="11">
        <v>2125.9989999999998</v>
      </c>
      <c r="R27" s="11"/>
    </row>
    <row r="28" spans="2:18" x14ac:dyDescent="0.25">
      <c r="B28" s="13" t="s">
        <v>18</v>
      </c>
      <c r="C28" s="36">
        <v>8.3156264409988978</v>
      </c>
      <c r="D28" s="36">
        <v>6.820352993989955</v>
      </c>
      <c r="E28" s="36">
        <v>6.9856871697532448</v>
      </c>
      <c r="F28" s="36">
        <v>4.5635296383096895</v>
      </c>
      <c r="G28" s="36">
        <v>4.9861650424510175</v>
      </c>
      <c r="H28" s="36">
        <v>3.0580491500104956</v>
      </c>
      <c r="I28" s="11">
        <v>3.9118600000000003</v>
      </c>
      <c r="J28" s="11"/>
      <c r="K28" s="38">
        <v>379.96699999999998</v>
      </c>
      <c r="L28" s="38">
        <v>322.69900000000001</v>
      </c>
      <c r="M28" s="38">
        <v>340.43</v>
      </c>
      <c r="N28" s="38">
        <v>229.16800000000001</v>
      </c>
      <c r="O28" s="38">
        <v>258.22899999999998</v>
      </c>
      <c r="P28" s="38">
        <v>162.72800000000001</v>
      </c>
      <c r="Q28" s="11">
        <v>213.60300000000001</v>
      </c>
      <c r="R28" s="11"/>
    </row>
    <row r="29" spans="2:18" x14ac:dyDescent="0.25">
      <c r="B29" s="13" t="s">
        <v>19</v>
      </c>
      <c r="C29" s="36">
        <v>8.5177355983273646</v>
      </c>
      <c r="D29" s="36">
        <v>3.1556964390334215</v>
      </c>
      <c r="E29" s="36">
        <v>3.3383060585851334</v>
      </c>
      <c r="F29" s="36">
        <v>4.3335290827239321</v>
      </c>
      <c r="G29" s="36">
        <v>2.7315400344860215</v>
      </c>
      <c r="H29" s="36">
        <v>2.3861457940454787</v>
      </c>
      <c r="I29" s="11">
        <v>2.3425600000000002</v>
      </c>
      <c r="J29" s="11"/>
      <c r="K29" s="38">
        <v>389.202</v>
      </c>
      <c r="L29" s="38">
        <v>149.309</v>
      </c>
      <c r="M29" s="38">
        <v>162.684</v>
      </c>
      <c r="N29" s="38">
        <v>217.61799999999999</v>
      </c>
      <c r="O29" s="38">
        <v>141.464</v>
      </c>
      <c r="P29" s="38">
        <v>126.974</v>
      </c>
      <c r="Q29" s="11">
        <v>127.913</v>
      </c>
      <c r="R29" s="11"/>
    </row>
    <row r="30" spans="2:18" x14ac:dyDescent="0.25">
      <c r="B30" s="13" t="s">
        <v>20</v>
      </c>
      <c r="C30" s="36">
        <v>10.755117891901913</v>
      </c>
      <c r="D30" s="36">
        <v>15.658982984360694</v>
      </c>
      <c r="E30" s="36">
        <v>17.648263479197659</v>
      </c>
      <c r="F30" s="36">
        <v>14.156763201185568</v>
      </c>
      <c r="G30" s="36">
        <v>14.378952327806429</v>
      </c>
      <c r="H30" s="36">
        <v>12.194386297636612</v>
      </c>
      <c r="I30" s="11">
        <v>14.097950000000001</v>
      </c>
      <c r="J30" s="11"/>
      <c r="K30" s="38">
        <v>491.435</v>
      </c>
      <c r="L30" s="38">
        <v>740.89099999999996</v>
      </c>
      <c r="M30" s="38">
        <v>860.04399999999998</v>
      </c>
      <c r="N30" s="38">
        <v>710.91399999999999</v>
      </c>
      <c r="O30" s="38">
        <v>744.673</v>
      </c>
      <c r="P30" s="38">
        <v>648.9</v>
      </c>
      <c r="Q30" s="11">
        <v>769.80399999999997</v>
      </c>
      <c r="R30" s="11"/>
    </row>
    <row r="31" spans="2:18" x14ac:dyDescent="0.25">
      <c r="B31" s="7" t="s">
        <v>21</v>
      </c>
      <c r="C31" s="36"/>
      <c r="D31" s="36"/>
      <c r="E31" s="36"/>
      <c r="F31" s="36"/>
      <c r="G31" s="36"/>
      <c r="H31" s="36"/>
      <c r="I31" s="11"/>
      <c r="J31" s="11"/>
      <c r="K31" s="38"/>
      <c r="L31" s="38"/>
      <c r="M31" s="38"/>
      <c r="N31" s="38"/>
      <c r="O31" s="38"/>
      <c r="P31" s="38"/>
      <c r="R31" s="11"/>
    </row>
    <row r="32" spans="2:18" ht="15" customHeight="1" x14ac:dyDescent="0.25">
      <c r="B32" s="15" t="s">
        <v>22</v>
      </c>
      <c r="C32" s="36">
        <v>6.1374434187371278</v>
      </c>
      <c r="D32" s="36">
        <v>6.0345199276664134</v>
      </c>
      <c r="E32" s="36">
        <v>8.8050069255630223</v>
      </c>
      <c r="F32" s="36">
        <v>6.3710353031935032</v>
      </c>
      <c r="G32" s="36">
        <v>3.0943770021104831</v>
      </c>
      <c r="H32" s="36">
        <v>3.0838511108467648</v>
      </c>
      <c r="I32" s="11">
        <v>5.1705800000000002</v>
      </c>
      <c r="J32" s="11"/>
      <c r="K32" s="38">
        <v>280.43900000000002</v>
      </c>
      <c r="L32" s="38">
        <v>285.51799999999997</v>
      </c>
      <c r="M32" s="38">
        <v>429.09</v>
      </c>
      <c r="N32" s="38">
        <v>319.93599999999998</v>
      </c>
      <c r="O32" s="38">
        <v>160.255</v>
      </c>
      <c r="P32" s="38">
        <v>164.101</v>
      </c>
      <c r="Q32" s="11">
        <v>282.334</v>
      </c>
      <c r="R32" s="11"/>
    </row>
    <row r="33" spans="1:18" ht="15" customHeight="1" thickBot="1" x14ac:dyDescent="0.3">
      <c r="A33" s="17"/>
      <c r="B33" s="35" t="s">
        <v>23</v>
      </c>
      <c r="C33" s="65">
        <v>28.59548032713014</v>
      </c>
      <c r="D33" s="37">
        <v>29.224806463694136</v>
      </c>
      <c r="E33" s="37">
        <v>31.668270661263016</v>
      </c>
      <c r="F33" s="37">
        <v>29.491169073906249</v>
      </c>
      <c r="G33" s="37">
        <v>19.573423751329912</v>
      </c>
      <c r="H33" s="37">
        <v>21.105966379274545</v>
      </c>
      <c r="I33" s="37">
        <v>26.071129999999997</v>
      </c>
      <c r="J33" s="18"/>
      <c r="K33" s="39">
        <v>1306.617</v>
      </c>
      <c r="L33" s="39">
        <v>1382.7460000000001</v>
      </c>
      <c r="M33" s="39">
        <v>1543.2739999999999</v>
      </c>
      <c r="N33" s="39">
        <v>1480.9659999999999</v>
      </c>
      <c r="O33" s="39">
        <v>1013.69</v>
      </c>
      <c r="P33" s="39">
        <v>1123.1120000000001</v>
      </c>
      <c r="Q33" s="47">
        <v>1423.587</v>
      </c>
      <c r="R33" s="18"/>
    </row>
    <row r="34" spans="1:18" ht="15.75" thickTop="1" x14ac:dyDescent="0.25">
      <c r="B34" s="19" t="s">
        <v>47</v>
      </c>
    </row>
    <row r="35" spans="1:18" x14ac:dyDescent="0.25">
      <c r="B35" s="19" t="s">
        <v>35</v>
      </c>
    </row>
    <row r="36" spans="1:18" x14ac:dyDescent="0.25">
      <c r="B36" s="27"/>
      <c r="C36" s="27"/>
      <c r="D36" s="29"/>
      <c r="E36" s="29"/>
    </row>
    <row r="37" spans="1:18" x14ac:dyDescent="0.25">
      <c r="B37" s="27"/>
      <c r="C37" s="28"/>
      <c r="D37" s="29"/>
      <c r="E37" s="29"/>
    </row>
    <row r="38" spans="1:18" x14ac:dyDescent="0.25">
      <c r="B38" s="80"/>
      <c r="C38" s="80"/>
      <c r="D38" s="80"/>
      <c r="E38" s="80"/>
    </row>
    <row r="39" spans="1:18" x14ac:dyDescent="0.25">
      <c r="B39" s="80"/>
      <c r="C39" s="80"/>
      <c r="D39" s="80"/>
      <c r="E39" s="80"/>
    </row>
    <row r="43" spans="1:18" x14ac:dyDescent="0.25">
      <c r="G43" s="46"/>
    </row>
    <row r="44" spans="1:18" x14ac:dyDescent="0.25">
      <c r="G44" s="46"/>
    </row>
    <row r="45" spans="1:18" x14ac:dyDescent="0.25">
      <c r="G45" s="46"/>
    </row>
    <row r="46" spans="1:18" x14ac:dyDescent="0.25">
      <c r="G46" s="46"/>
    </row>
    <row r="47" spans="1:18" x14ac:dyDescent="0.25">
      <c r="G47" s="46"/>
    </row>
    <row r="48" spans="1:18" x14ac:dyDescent="0.25">
      <c r="G48" s="46"/>
    </row>
  </sheetData>
  <mergeCells count="9">
    <mergeCell ref="B38:E38"/>
    <mergeCell ref="B39:E39"/>
    <mergeCell ref="B11:B13"/>
    <mergeCell ref="C11:R11"/>
    <mergeCell ref="B4:R4"/>
    <mergeCell ref="B9:R9"/>
    <mergeCell ref="B10:R10"/>
    <mergeCell ref="C12:I12"/>
    <mergeCell ref="K12:Q1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27DD3-B3B6-4C6E-81AF-C1896E318212}">
  <dimension ref="A4:R47"/>
  <sheetViews>
    <sheetView zoomScaleNormal="100" workbookViewId="0">
      <selection activeCell="AA26" sqref="AA26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10.5703125" style="2" customWidth="1"/>
    <col min="17" max="17" width="8.42578125" style="2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customHeight="1" x14ac:dyDescent="0.25">
      <c r="A9" s="1"/>
      <c r="B9" s="70" t="s">
        <v>59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36">
        <v>61.803380846907451</v>
      </c>
      <c r="D15" s="36">
        <v>66.987414761241169</v>
      </c>
      <c r="E15" s="36">
        <v>61.937351204786481</v>
      </c>
      <c r="F15" s="36">
        <v>66.750093378756773</v>
      </c>
      <c r="G15" s="36">
        <v>70.401104722391523</v>
      </c>
      <c r="H15" s="36">
        <v>66.351622191045564</v>
      </c>
      <c r="I15" s="11">
        <v>63.828589999999998</v>
      </c>
      <c r="J15" s="11"/>
      <c r="K15" s="38">
        <v>2354.4479999999999</v>
      </c>
      <c r="L15" s="38">
        <v>2596.252</v>
      </c>
      <c r="M15" s="38">
        <v>2434.5949999999998</v>
      </c>
      <c r="N15" s="38">
        <v>2662.748</v>
      </c>
      <c r="O15" s="38">
        <v>2847.3409999999999</v>
      </c>
      <c r="P15" s="38">
        <v>2714.6970000000001</v>
      </c>
      <c r="Q15" s="11">
        <v>2638.7139999999999</v>
      </c>
      <c r="R15" s="11"/>
    </row>
    <row r="16" spans="1:18" ht="15" customHeight="1" x14ac:dyDescent="0.25">
      <c r="B16" s="10" t="s">
        <v>6</v>
      </c>
      <c r="C16" s="36">
        <v>33.481267478970111</v>
      </c>
      <c r="D16" s="36">
        <v>37.742093039996846</v>
      </c>
      <c r="E16" s="36">
        <v>38.61893110148781</v>
      </c>
      <c r="F16" s="36">
        <v>38.415669582089329</v>
      </c>
      <c r="G16" s="36">
        <v>43.520944107426089</v>
      </c>
      <c r="H16" s="36">
        <v>43.086904662974348</v>
      </c>
      <c r="I16" s="11">
        <v>39.551700000000004</v>
      </c>
      <c r="J16" s="11"/>
      <c r="K16" s="38">
        <v>1275.4949999999999</v>
      </c>
      <c r="L16" s="38">
        <v>1462.7819999999999</v>
      </c>
      <c r="M16" s="38">
        <v>1518.009</v>
      </c>
      <c r="N16" s="38">
        <v>1532.451</v>
      </c>
      <c r="O16" s="38">
        <v>1760.1849999999999</v>
      </c>
      <c r="P16" s="38">
        <v>1762.8489999999999</v>
      </c>
      <c r="Q16" s="11">
        <v>1635.0920000000001</v>
      </c>
      <c r="R16" s="11"/>
    </row>
    <row r="17" spans="2:18" ht="15" customHeight="1" x14ac:dyDescent="0.25">
      <c r="B17" s="10" t="s">
        <v>7</v>
      </c>
      <c r="C17" s="36">
        <v>28.322113367937341</v>
      </c>
      <c r="D17" s="36">
        <v>29.245321721244327</v>
      </c>
      <c r="E17" s="36">
        <v>23.318420103298667</v>
      </c>
      <c r="F17" s="36">
        <v>28.334423796667448</v>
      </c>
      <c r="G17" s="36">
        <v>26.880160614965426</v>
      </c>
      <c r="H17" s="36">
        <v>23.264717528071213</v>
      </c>
      <c r="I17" s="11">
        <v>24.276890000000002</v>
      </c>
      <c r="J17" s="11"/>
      <c r="K17" s="38">
        <v>1078.953</v>
      </c>
      <c r="L17" s="38">
        <v>1133.47</v>
      </c>
      <c r="M17" s="38">
        <v>916.58600000000001</v>
      </c>
      <c r="N17" s="38">
        <v>1130.297</v>
      </c>
      <c r="O17" s="38">
        <v>1087.1559999999999</v>
      </c>
      <c r="P17" s="38">
        <v>951.84799999999996</v>
      </c>
      <c r="Q17" s="11">
        <v>1003.622</v>
      </c>
      <c r="R17" s="11"/>
    </row>
    <row r="18" spans="2:18" ht="15" customHeight="1" x14ac:dyDescent="0.25">
      <c r="B18" s="10" t="s">
        <v>8</v>
      </c>
      <c r="C18" s="36">
        <v>26.781654030971406</v>
      </c>
      <c r="D18" s="36">
        <v>22.179532067628017</v>
      </c>
      <c r="E18" s="36">
        <v>26.063070090145924</v>
      </c>
      <c r="F18" s="36">
        <v>23.261112072055813</v>
      </c>
      <c r="G18" s="36">
        <v>19.918184279464104</v>
      </c>
      <c r="H18" s="36">
        <v>22.508346816966402</v>
      </c>
      <c r="I18" s="11">
        <v>24.143339999999998</v>
      </c>
      <c r="J18" s="11"/>
      <c r="K18" s="38">
        <v>1020.268</v>
      </c>
      <c r="L18" s="38">
        <v>859.61900000000003</v>
      </c>
      <c r="M18" s="38">
        <v>1024.471</v>
      </c>
      <c r="N18" s="38">
        <v>927.91600000000005</v>
      </c>
      <c r="O18" s="38">
        <v>805.58199999999999</v>
      </c>
      <c r="P18" s="38">
        <v>920.90200000000004</v>
      </c>
      <c r="Q18" s="11">
        <v>998.101</v>
      </c>
      <c r="R18" s="11"/>
    </row>
    <row r="19" spans="2:18" ht="15" customHeight="1" x14ac:dyDescent="0.25">
      <c r="B19" s="10" t="s">
        <v>9</v>
      </c>
      <c r="C19" s="36">
        <v>1.4230710068149279</v>
      </c>
      <c r="D19" s="36">
        <v>1.2941042605898088</v>
      </c>
      <c r="E19" s="36">
        <v>1.6557450534734188</v>
      </c>
      <c r="F19" s="36">
        <v>2.0951184844815787</v>
      </c>
      <c r="G19" s="36">
        <v>2.3280021659284134</v>
      </c>
      <c r="H19" s="36">
        <v>2.6348811403487336</v>
      </c>
      <c r="I19" s="11">
        <v>2.4877199999999999</v>
      </c>
      <c r="J19" s="11"/>
      <c r="K19" s="38">
        <v>54.213000000000001</v>
      </c>
      <c r="L19" s="38">
        <v>50.155999999999999</v>
      </c>
      <c r="M19" s="38">
        <v>65.082999999999998</v>
      </c>
      <c r="N19" s="38">
        <v>83.576999999999998</v>
      </c>
      <c r="O19" s="38">
        <v>94.155000000000001</v>
      </c>
      <c r="P19" s="38">
        <v>107.803</v>
      </c>
      <c r="Q19" s="11">
        <v>102.84399999999999</v>
      </c>
      <c r="R19" s="11"/>
    </row>
    <row r="20" spans="2:18" ht="15" customHeight="1" x14ac:dyDescent="0.25">
      <c r="B20" s="10" t="s">
        <v>10</v>
      </c>
      <c r="C20" s="36">
        <v>9.9918941153062093</v>
      </c>
      <c r="D20" s="36">
        <v>9.5389489105410057</v>
      </c>
      <c r="E20" s="36">
        <v>10.34383365159418</v>
      </c>
      <c r="F20" s="36">
        <v>7.893676064705839</v>
      </c>
      <c r="G20" s="36">
        <v>7.3527088322159599</v>
      </c>
      <c r="H20" s="36">
        <v>8.5051498516393007</v>
      </c>
      <c r="I20" s="11">
        <v>9.5403500000000001</v>
      </c>
      <c r="J20" s="11"/>
      <c r="K20" s="38">
        <v>380.649</v>
      </c>
      <c r="L20" s="38">
        <v>369.70400000000001</v>
      </c>
      <c r="M20" s="38">
        <v>406.589</v>
      </c>
      <c r="N20" s="38">
        <v>314.88900000000001</v>
      </c>
      <c r="O20" s="38">
        <v>297.37700000000001</v>
      </c>
      <c r="P20" s="38">
        <v>347.97800000000001</v>
      </c>
      <c r="Q20" s="11">
        <v>394.404</v>
      </c>
      <c r="R20" s="11"/>
    </row>
    <row r="21" spans="2:18" x14ac:dyDescent="0.25">
      <c r="B21" s="12" t="s">
        <v>11</v>
      </c>
      <c r="C21" s="36"/>
      <c r="D21" s="36"/>
      <c r="E21" s="36"/>
      <c r="F21" s="36"/>
      <c r="G21" s="36"/>
      <c r="H21" s="36"/>
      <c r="I21" s="11"/>
      <c r="J21" s="11"/>
      <c r="K21" s="38"/>
      <c r="L21" s="38"/>
      <c r="M21" s="38"/>
      <c r="N21" s="38"/>
      <c r="O21" s="38"/>
      <c r="P21" s="38"/>
      <c r="R21" s="11"/>
    </row>
    <row r="22" spans="2:18" x14ac:dyDescent="0.25">
      <c r="B22" s="13" t="s">
        <v>12</v>
      </c>
      <c r="C22" s="36">
        <v>88.585034877878869</v>
      </c>
      <c r="D22" s="36">
        <v>89.166946828869186</v>
      </c>
      <c r="E22" s="36">
        <v>88.000421294932409</v>
      </c>
      <c r="F22" s="36">
        <v>90.011205450812582</v>
      </c>
      <c r="G22" s="36">
        <v>90.319289001855623</v>
      </c>
      <c r="H22" s="36">
        <v>88.859969008011959</v>
      </c>
      <c r="I22" s="11">
        <v>87.97193</v>
      </c>
      <c r="J22" s="11"/>
      <c r="K22" s="38">
        <v>3374.7159999999999</v>
      </c>
      <c r="L22" s="38">
        <v>3455.8710000000001</v>
      </c>
      <c r="M22" s="38">
        <v>3459.0659999999998</v>
      </c>
      <c r="N22" s="38">
        <v>3590.6640000000002</v>
      </c>
      <c r="O22" s="38">
        <v>3652.9229999999998</v>
      </c>
      <c r="P22" s="38">
        <v>3635.5990000000002</v>
      </c>
      <c r="Q22" s="11">
        <v>3636.8150000000001</v>
      </c>
      <c r="R22" s="11"/>
    </row>
    <row r="23" spans="2:18" x14ac:dyDescent="0.25">
      <c r="B23" s="13" t="s">
        <v>13</v>
      </c>
      <c r="C23" s="36">
        <v>60.516282905875663</v>
      </c>
      <c r="D23" s="36">
        <v>54.494777888351898</v>
      </c>
      <c r="E23" s="36">
        <v>45.741257748544925</v>
      </c>
      <c r="F23" s="36">
        <v>48.990832587556689</v>
      </c>
      <c r="G23" s="36">
        <v>47.534661654042388</v>
      </c>
      <c r="H23" s="36">
        <v>44.796645630569635</v>
      </c>
      <c r="I23" s="11">
        <v>48.001010000000001</v>
      </c>
      <c r="J23" s="11"/>
      <c r="K23" s="38">
        <v>2305.415</v>
      </c>
      <c r="L23" s="38">
        <v>2112.0709999999999</v>
      </c>
      <c r="M23" s="38">
        <v>1797.9690000000001</v>
      </c>
      <c r="N23" s="38">
        <v>1954.308</v>
      </c>
      <c r="O23" s="38">
        <v>1922.518</v>
      </c>
      <c r="P23" s="38">
        <v>1832.8009999999999</v>
      </c>
      <c r="Q23" s="11">
        <v>1984.3920000000001</v>
      </c>
      <c r="R23" s="11"/>
    </row>
    <row r="24" spans="2:18" ht="25.5" customHeight="1" x14ac:dyDescent="0.25">
      <c r="B24" s="14" t="s">
        <v>14</v>
      </c>
      <c r="C24" s="36"/>
      <c r="D24" s="36"/>
      <c r="E24" s="36"/>
      <c r="F24" s="36"/>
      <c r="G24" s="36"/>
      <c r="H24" s="36"/>
      <c r="I24" s="11"/>
      <c r="J24" s="11"/>
      <c r="K24" s="38"/>
      <c r="L24" s="38"/>
      <c r="M24" s="38"/>
      <c r="N24" s="38"/>
      <c r="O24" s="38"/>
      <c r="P24" s="38"/>
      <c r="R24" s="11"/>
    </row>
    <row r="25" spans="2:18" x14ac:dyDescent="0.25">
      <c r="B25" s="15" t="s">
        <v>15</v>
      </c>
      <c r="C25" s="36">
        <v>30.620950666976761</v>
      </c>
      <c r="D25" s="36">
        <v>29.98796872125542</v>
      </c>
      <c r="E25" s="36">
        <v>27.67716902016873</v>
      </c>
      <c r="F25" s="36">
        <v>27.203851466359836</v>
      </c>
      <c r="G25" s="36">
        <v>27.291464486562468</v>
      </c>
      <c r="H25" s="36">
        <v>27.060625021386425</v>
      </c>
      <c r="I25" s="11">
        <v>26.37715</v>
      </c>
      <c r="J25" s="11"/>
      <c r="K25" s="38">
        <v>1166.529</v>
      </c>
      <c r="L25" s="38">
        <v>1162.2529999999999</v>
      </c>
      <c r="M25" s="38">
        <v>1087.9169999999999</v>
      </c>
      <c r="N25" s="38">
        <v>1085.1969999999999</v>
      </c>
      <c r="O25" s="38">
        <v>1103.7909999999999</v>
      </c>
      <c r="P25" s="38">
        <v>1107.153</v>
      </c>
      <c r="Q25" s="11">
        <v>1090.4480000000001</v>
      </c>
      <c r="R25" s="11"/>
    </row>
    <row r="26" spans="2:18" x14ac:dyDescent="0.25">
      <c r="B26" s="13" t="s">
        <v>16</v>
      </c>
      <c r="C26" s="36">
        <v>54.768349670225945</v>
      </c>
      <c r="D26" s="36">
        <v>38.507574442085897</v>
      </c>
      <c r="E26" s="36">
        <v>20.94710967762288</v>
      </c>
      <c r="F26" s="36">
        <v>19.926826150062794</v>
      </c>
      <c r="G26" s="36">
        <v>15.875661862970414</v>
      </c>
      <c r="H26" s="36">
        <v>16.256715338101081</v>
      </c>
      <c r="I26" s="11">
        <v>36.924759999999999</v>
      </c>
      <c r="J26" s="11"/>
      <c r="K26" s="38">
        <v>2086.4430000000002</v>
      </c>
      <c r="L26" s="38">
        <v>1492.45</v>
      </c>
      <c r="M26" s="38">
        <v>823.37599999999998</v>
      </c>
      <c r="N26" s="38">
        <v>794.90700000000004</v>
      </c>
      <c r="O26" s="38">
        <v>642.08399999999995</v>
      </c>
      <c r="P26" s="38">
        <v>665.12400000000002</v>
      </c>
      <c r="Q26" s="11">
        <v>1526.4929999999999</v>
      </c>
      <c r="R26" s="11"/>
    </row>
    <row r="27" spans="2:18" x14ac:dyDescent="0.25">
      <c r="B27" s="13" t="s">
        <v>17</v>
      </c>
      <c r="C27" s="36">
        <v>80.415153594440113</v>
      </c>
      <c r="D27" s="36">
        <v>79.408736055211264</v>
      </c>
      <c r="E27" s="36">
        <v>75.685838130142486</v>
      </c>
      <c r="F27" s="36">
        <v>77.908315848317798</v>
      </c>
      <c r="G27" s="36">
        <v>77.925678490674272</v>
      </c>
      <c r="H27" s="36">
        <v>76.175471356852697</v>
      </c>
      <c r="I27" s="11">
        <v>73.236909999999995</v>
      </c>
      <c r="J27" s="11"/>
      <c r="K27" s="38">
        <v>3063.4780000000001</v>
      </c>
      <c r="L27" s="38">
        <v>3077.6689999999999</v>
      </c>
      <c r="M27" s="38">
        <v>2975.0120000000002</v>
      </c>
      <c r="N27" s="38">
        <v>3107.864</v>
      </c>
      <c r="O27" s="38">
        <v>3151.6689999999999</v>
      </c>
      <c r="P27" s="38">
        <v>3116.6280000000002</v>
      </c>
      <c r="Q27" s="11">
        <v>3027.66</v>
      </c>
      <c r="R27" s="11"/>
    </row>
    <row r="28" spans="2:18" x14ac:dyDescent="0.25">
      <c r="B28" s="13" t="s">
        <v>18</v>
      </c>
      <c r="C28" s="36">
        <v>38.213943906647927</v>
      </c>
      <c r="D28" s="36">
        <v>33.852013981362482</v>
      </c>
      <c r="E28" s="36">
        <v>24.556330134442948</v>
      </c>
      <c r="F28" s="36">
        <v>24.533645180778766</v>
      </c>
      <c r="G28" s="36">
        <v>26.273033078622461</v>
      </c>
      <c r="H28" s="36">
        <v>25.114997873578108</v>
      </c>
      <c r="I28" s="11">
        <v>22.69903</v>
      </c>
      <c r="J28" s="11"/>
      <c r="K28" s="38">
        <v>1455.79</v>
      </c>
      <c r="L28" s="38">
        <v>1312.0129999999999</v>
      </c>
      <c r="M28" s="38">
        <v>965.245</v>
      </c>
      <c r="N28" s="38">
        <v>978.67899999999997</v>
      </c>
      <c r="O28" s="38">
        <v>1062.6010000000001</v>
      </c>
      <c r="P28" s="38">
        <v>1027.55</v>
      </c>
      <c r="Q28" s="11">
        <v>938.39200000000005</v>
      </c>
      <c r="R28" s="11"/>
    </row>
    <row r="29" spans="2:18" x14ac:dyDescent="0.25">
      <c r="B29" s="13" t="s">
        <v>19</v>
      </c>
      <c r="C29" s="36">
        <v>57.256263029658406</v>
      </c>
      <c r="D29" s="36">
        <v>58.032820131221698</v>
      </c>
      <c r="E29" s="36">
        <v>55.532523409090096</v>
      </c>
      <c r="F29" s="36">
        <v>60.484566810307008</v>
      </c>
      <c r="G29" s="36">
        <v>61.984222843374447</v>
      </c>
      <c r="H29" s="36">
        <v>58.278160425088842</v>
      </c>
      <c r="I29" s="11">
        <v>53.686990000000002</v>
      </c>
      <c r="J29" s="11"/>
      <c r="K29" s="38">
        <v>2181.2220000000002</v>
      </c>
      <c r="L29" s="38">
        <v>2249.1959999999999</v>
      </c>
      <c r="M29" s="38">
        <v>2182.8380000000002</v>
      </c>
      <c r="N29" s="38">
        <v>2412.808</v>
      </c>
      <c r="O29" s="38">
        <v>2506.924</v>
      </c>
      <c r="P29" s="38">
        <v>2384.3809999999999</v>
      </c>
      <c r="Q29" s="11">
        <v>2219.4540000000002</v>
      </c>
      <c r="R29" s="11"/>
    </row>
    <row r="30" spans="2:18" x14ac:dyDescent="0.25">
      <c r="B30" s="13" t="s">
        <v>20</v>
      </c>
      <c r="C30" s="36">
        <v>28.57699724221423</v>
      </c>
      <c r="D30" s="36">
        <v>26.389834588623412</v>
      </c>
      <c r="E30" s="36">
        <v>31.663672318022723</v>
      </c>
      <c r="F30" s="36">
        <v>36.105391401132579</v>
      </c>
      <c r="G30" s="36">
        <v>31.372854933483001</v>
      </c>
      <c r="H30" s="36">
        <v>27.91781746012348</v>
      </c>
      <c r="I30" s="11">
        <v>28.439330000000002</v>
      </c>
      <c r="J30" s="11"/>
      <c r="K30" s="38">
        <v>1088.663</v>
      </c>
      <c r="L30" s="38">
        <v>1022.799</v>
      </c>
      <c r="M30" s="38">
        <v>1244.616</v>
      </c>
      <c r="N30" s="38">
        <v>1440.2909999999999</v>
      </c>
      <c r="O30" s="38">
        <v>1268.8610000000001</v>
      </c>
      <c r="P30" s="38">
        <v>1142.2239999999999</v>
      </c>
      <c r="Q30" s="11">
        <v>1175.7</v>
      </c>
      <c r="R30" s="11"/>
    </row>
    <row r="31" spans="2:18" x14ac:dyDescent="0.25">
      <c r="B31" s="7" t="s">
        <v>21</v>
      </c>
      <c r="C31" s="36"/>
      <c r="D31" s="36"/>
      <c r="E31" s="36"/>
      <c r="F31" s="36"/>
      <c r="G31" s="36"/>
      <c r="H31" s="36"/>
      <c r="I31" s="11"/>
      <c r="J31" s="11"/>
      <c r="K31" s="38"/>
      <c r="L31" s="38"/>
      <c r="M31" s="38"/>
      <c r="N31" s="38"/>
      <c r="O31" s="38"/>
      <c r="P31" s="38"/>
      <c r="R31" s="11"/>
    </row>
    <row r="32" spans="2:18" ht="15" customHeight="1" x14ac:dyDescent="0.25">
      <c r="B32" s="15" t="s">
        <v>22</v>
      </c>
      <c r="C32" s="36">
        <v>32.947087577679206</v>
      </c>
      <c r="D32" s="36">
        <v>36.201944871819016</v>
      </c>
      <c r="E32" s="36">
        <v>34.387104915158432</v>
      </c>
      <c r="F32" s="36">
        <v>42.106048185945305</v>
      </c>
      <c r="G32" s="36">
        <v>40.202227494186488</v>
      </c>
      <c r="H32" s="36">
        <v>37.447707130601408</v>
      </c>
      <c r="I32" s="11">
        <v>36.605179999999997</v>
      </c>
      <c r="J32" s="11"/>
      <c r="K32" s="38">
        <v>1255.145</v>
      </c>
      <c r="L32" s="38">
        <v>1403.09</v>
      </c>
      <c r="M32" s="38">
        <v>1351.6669999999999</v>
      </c>
      <c r="N32" s="38">
        <v>1679.665</v>
      </c>
      <c r="O32" s="38">
        <v>1625.961</v>
      </c>
      <c r="P32" s="38">
        <v>1532.1279999999999</v>
      </c>
      <c r="Q32" s="11">
        <v>1513.2809999999999</v>
      </c>
      <c r="R32" s="11"/>
    </row>
    <row r="33" spans="1:18" ht="15" customHeight="1" thickBot="1" x14ac:dyDescent="0.3">
      <c r="A33" s="17"/>
      <c r="B33" s="35" t="s">
        <v>23</v>
      </c>
      <c r="C33" s="37">
        <v>63.226451853722374</v>
      </c>
      <c r="D33" s="37">
        <v>68.281519021830988</v>
      </c>
      <c r="E33" s="37">
        <v>63.593096258259898</v>
      </c>
      <c r="F33" s="37">
        <v>68.845211863238347</v>
      </c>
      <c r="G33" s="37">
        <v>72.729106888319933</v>
      </c>
      <c r="H33" s="37">
        <v>68.986503331394303</v>
      </c>
      <c r="I33" s="37">
        <v>66.316310000000001</v>
      </c>
      <c r="J33" s="18"/>
      <c r="K33" s="39">
        <v>2408.6610000000001</v>
      </c>
      <c r="L33" s="39">
        <v>2646.4079999999999</v>
      </c>
      <c r="M33" s="39">
        <v>2499.6779999999999</v>
      </c>
      <c r="N33" s="39">
        <v>2746.3249999999998</v>
      </c>
      <c r="O33" s="39">
        <v>2941.4960000000001</v>
      </c>
      <c r="P33" s="39">
        <v>2822.5</v>
      </c>
      <c r="Q33" s="48">
        <v>2741.558</v>
      </c>
      <c r="R33" s="18"/>
    </row>
    <row r="34" spans="1:18" ht="15.75" thickTop="1" x14ac:dyDescent="0.25">
      <c r="B34" s="19" t="s">
        <v>47</v>
      </c>
    </row>
    <row r="35" spans="1:18" x14ac:dyDescent="0.25">
      <c r="B35" s="19" t="s">
        <v>35</v>
      </c>
    </row>
    <row r="36" spans="1:18" x14ac:dyDescent="0.25">
      <c r="B36" s="27"/>
      <c r="C36" s="27"/>
      <c r="D36" s="29"/>
      <c r="E36" s="29"/>
    </row>
    <row r="37" spans="1:18" x14ac:dyDescent="0.25">
      <c r="B37" s="27"/>
      <c r="C37" s="28"/>
      <c r="D37" s="29"/>
      <c r="E37" s="29"/>
    </row>
    <row r="38" spans="1:18" x14ac:dyDescent="0.25">
      <c r="B38" s="80"/>
      <c r="C38" s="80"/>
      <c r="D38" s="80"/>
      <c r="E38" s="80"/>
    </row>
    <row r="39" spans="1:18" x14ac:dyDescent="0.25">
      <c r="B39" s="80"/>
      <c r="C39" s="80"/>
      <c r="D39" s="80"/>
      <c r="E39" s="80"/>
    </row>
    <row r="42" spans="1:18" x14ac:dyDescent="0.25">
      <c r="F42" s="46"/>
    </row>
    <row r="43" spans="1:18" x14ac:dyDescent="0.25">
      <c r="F43" s="46"/>
    </row>
    <row r="44" spans="1:18" x14ac:dyDescent="0.25">
      <c r="F44" s="46"/>
    </row>
    <row r="45" spans="1:18" x14ac:dyDescent="0.25">
      <c r="F45" s="46"/>
    </row>
    <row r="46" spans="1:18" x14ac:dyDescent="0.25">
      <c r="F46" s="46"/>
    </row>
    <row r="47" spans="1:18" x14ac:dyDescent="0.25">
      <c r="F47" s="46"/>
    </row>
  </sheetData>
  <mergeCells count="9">
    <mergeCell ref="B38:E38"/>
    <mergeCell ref="B39:E39"/>
    <mergeCell ref="B11:B13"/>
    <mergeCell ref="C11:R11"/>
    <mergeCell ref="B4:R4"/>
    <mergeCell ref="B9:R9"/>
    <mergeCell ref="B10:R10"/>
    <mergeCell ref="C12:I12"/>
    <mergeCell ref="K12:Q1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2662-FF1A-456B-9056-66E56A57E6C6}">
  <dimension ref="A4:R47"/>
  <sheetViews>
    <sheetView zoomScaleNormal="100" workbookViewId="0">
      <selection activeCell="Z3" sqref="Z3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10.5703125" style="2" customWidth="1"/>
    <col min="17" max="17" width="8.140625" style="2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customHeight="1" x14ac:dyDescent="0.25">
      <c r="A9" s="1"/>
      <c r="B9" s="70" t="s">
        <v>60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36">
        <v>64.551529659660261</v>
      </c>
      <c r="D15" s="36">
        <v>61.483103581945421</v>
      </c>
      <c r="E15" s="36">
        <v>64.470351507510458</v>
      </c>
      <c r="F15" s="36">
        <v>64.537023089668821</v>
      </c>
      <c r="G15" s="36">
        <v>59.440157622675571</v>
      </c>
      <c r="H15" s="36">
        <v>58.916717607859006</v>
      </c>
      <c r="I15" s="11">
        <v>63.369830000000007</v>
      </c>
      <c r="J15" s="11"/>
      <c r="K15" s="38">
        <v>3705.6179999999999</v>
      </c>
      <c r="L15" s="38">
        <v>3616.2640000000001</v>
      </c>
      <c r="M15" s="38">
        <v>3878.116</v>
      </c>
      <c r="N15" s="38">
        <v>3958.8119999999999</v>
      </c>
      <c r="O15" s="38">
        <v>3728.2020000000002</v>
      </c>
      <c r="P15" s="38">
        <v>3763.65</v>
      </c>
      <c r="Q15" s="11">
        <v>4117.277</v>
      </c>
      <c r="R15" s="11"/>
    </row>
    <row r="16" spans="1:18" ht="15" customHeight="1" x14ac:dyDescent="0.25">
      <c r="B16" s="10" t="s">
        <v>6</v>
      </c>
      <c r="C16" s="36">
        <v>45.596577893647272</v>
      </c>
      <c r="D16" s="36">
        <v>44.451878022075178</v>
      </c>
      <c r="E16" s="36">
        <v>46.864154825290235</v>
      </c>
      <c r="F16" s="36">
        <v>48.376374187094854</v>
      </c>
      <c r="G16" s="36">
        <v>50.482112000999969</v>
      </c>
      <c r="H16" s="36">
        <v>50.276835702718422</v>
      </c>
      <c r="I16" s="11">
        <v>49.553660000000001</v>
      </c>
      <c r="J16" s="11"/>
      <c r="K16" s="38">
        <v>2617.498</v>
      </c>
      <c r="L16" s="38">
        <v>2614.5349999999999</v>
      </c>
      <c r="M16" s="38">
        <v>2819.0419999999999</v>
      </c>
      <c r="N16" s="38">
        <v>2967.49</v>
      </c>
      <c r="O16" s="38">
        <v>3166.3359999999998</v>
      </c>
      <c r="P16" s="38">
        <v>3211.7269999999999</v>
      </c>
      <c r="Q16" s="11">
        <v>3219.61</v>
      </c>
      <c r="R16" s="11"/>
    </row>
    <row r="17" spans="2:18" ht="15" customHeight="1" x14ac:dyDescent="0.25">
      <c r="B17" s="10" t="s">
        <v>7</v>
      </c>
      <c r="C17" s="36">
        <v>18.954951766012989</v>
      </c>
      <c r="D17" s="36">
        <v>17.03122555987024</v>
      </c>
      <c r="E17" s="36">
        <v>17.606196682220215</v>
      </c>
      <c r="F17" s="36">
        <v>16.160648902573975</v>
      </c>
      <c r="G17" s="36">
        <v>8.9580456216756055</v>
      </c>
      <c r="H17" s="36">
        <v>8.6398819051405855</v>
      </c>
      <c r="I17" s="11">
        <v>13.81617</v>
      </c>
      <c r="J17" s="11"/>
      <c r="K17" s="38">
        <v>1088.1199999999999</v>
      </c>
      <c r="L17" s="38">
        <v>1001.729</v>
      </c>
      <c r="M17" s="38">
        <v>1059.0740000000001</v>
      </c>
      <c r="N17" s="38">
        <v>991.322</v>
      </c>
      <c r="O17" s="38">
        <v>561.86599999999999</v>
      </c>
      <c r="P17" s="38">
        <v>551.923</v>
      </c>
      <c r="Q17" s="11">
        <v>897.66700000000003</v>
      </c>
      <c r="R17" s="11"/>
    </row>
    <row r="18" spans="2:18" ht="15" customHeight="1" x14ac:dyDescent="0.25">
      <c r="B18" s="10" t="s">
        <v>8</v>
      </c>
      <c r="C18" s="36">
        <v>22.610014566528204</v>
      </c>
      <c r="D18" s="36">
        <v>21.612181470726249</v>
      </c>
      <c r="E18" s="36">
        <v>21.958812690471106</v>
      </c>
      <c r="F18" s="36">
        <v>19.847601273651929</v>
      </c>
      <c r="G18" s="36">
        <v>21.479278223855957</v>
      </c>
      <c r="H18" s="36">
        <v>23.229637677019014</v>
      </c>
      <c r="I18" s="11">
        <v>18.460989999999999</v>
      </c>
      <c r="J18" s="11"/>
      <c r="K18" s="38">
        <v>1297.941</v>
      </c>
      <c r="L18" s="38">
        <v>1271.1679999999999</v>
      </c>
      <c r="M18" s="38">
        <v>1320.8989999999999</v>
      </c>
      <c r="N18" s="38">
        <v>1217.4860000000001</v>
      </c>
      <c r="O18" s="38">
        <v>1347.222</v>
      </c>
      <c r="P18" s="38">
        <v>1483.9290000000001</v>
      </c>
      <c r="Q18" s="11">
        <v>1199.451</v>
      </c>
      <c r="R18" s="11"/>
    </row>
    <row r="19" spans="2:18" ht="15" customHeight="1" x14ac:dyDescent="0.25">
      <c r="B19" s="10" t="s">
        <v>9</v>
      </c>
      <c r="C19" s="36">
        <v>4.0421331863557519</v>
      </c>
      <c r="D19" s="36">
        <v>5.5671130213610986</v>
      </c>
      <c r="E19" s="36">
        <v>4.2205205750357253</v>
      </c>
      <c r="F19" s="36">
        <v>5.1201042292260466</v>
      </c>
      <c r="G19" s="36">
        <v>6.2060420962744463</v>
      </c>
      <c r="H19" s="36">
        <v>6.1239635978544431</v>
      </c>
      <c r="I19" s="11">
        <v>6.8293699999999999</v>
      </c>
      <c r="J19" s="11"/>
      <c r="K19" s="38">
        <v>232.041</v>
      </c>
      <c r="L19" s="38">
        <v>327.44200000000001</v>
      </c>
      <c r="M19" s="38">
        <v>253.87899999999999</v>
      </c>
      <c r="N19" s="38">
        <v>314.07600000000002</v>
      </c>
      <c r="O19" s="38">
        <v>389.255</v>
      </c>
      <c r="P19" s="38">
        <v>391.20400000000001</v>
      </c>
      <c r="Q19" s="11">
        <v>443.71899999999999</v>
      </c>
      <c r="R19" s="11"/>
    </row>
    <row r="20" spans="2:18" ht="15" customHeight="1" x14ac:dyDescent="0.25">
      <c r="B20" s="10" t="s">
        <v>10</v>
      </c>
      <c r="C20" s="36">
        <v>8.7963225874557835</v>
      </c>
      <c r="D20" s="36">
        <v>11.337601925967235</v>
      </c>
      <c r="E20" s="36">
        <v>9.3503152269827119</v>
      </c>
      <c r="F20" s="36">
        <v>10.495271407453197</v>
      </c>
      <c r="G20" s="36">
        <v>12.874522057194021</v>
      </c>
      <c r="H20" s="36">
        <v>11.729681117267537</v>
      </c>
      <c r="I20" s="11">
        <v>11.33982</v>
      </c>
      <c r="J20" s="11"/>
      <c r="K20" s="38">
        <v>504.95800000000003</v>
      </c>
      <c r="L20" s="38">
        <v>666.846</v>
      </c>
      <c r="M20" s="38">
        <v>562.45399999999995</v>
      </c>
      <c r="N20" s="38">
        <v>643.798</v>
      </c>
      <c r="O20" s="38">
        <v>807.51499999999999</v>
      </c>
      <c r="P20" s="38">
        <v>749.30200000000002</v>
      </c>
      <c r="Q20" s="11">
        <v>736.77300000000002</v>
      </c>
      <c r="R20" s="11"/>
    </row>
    <row r="21" spans="2:18" x14ac:dyDescent="0.25">
      <c r="B21" s="12" t="s">
        <v>11</v>
      </c>
      <c r="C21" s="36"/>
      <c r="D21" s="36"/>
      <c r="E21" s="36"/>
      <c r="F21" s="36"/>
      <c r="G21" s="36"/>
      <c r="H21" s="36"/>
      <c r="I21" s="11"/>
      <c r="J21" s="11"/>
      <c r="K21" s="38"/>
      <c r="L21" s="38"/>
      <c r="M21" s="38"/>
      <c r="N21" s="38"/>
      <c r="O21" s="38"/>
      <c r="P21" s="38"/>
      <c r="R21" s="11"/>
    </row>
    <row r="22" spans="2:18" x14ac:dyDescent="0.25">
      <c r="B22" s="13" t="s">
        <v>12</v>
      </c>
      <c r="C22" s="36">
        <v>87.161544226188468</v>
      </c>
      <c r="D22" s="36">
        <v>83.09528505267167</v>
      </c>
      <c r="E22" s="36">
        <v>86.429164197981564</v>
      </c>
      <c r="F22" s="36">
        <v>84.384624363320754</v>
      </c>
      <c r="G22" s="36">
        <v>80.919435846531528</v>
      </c>
      <c r="H22" s="36">
        <v>82.146355284878013</v>
      </c>
      <c r="I22" s="11">
        <v>81.83081</v>
      </c>
      <c r="J22" s="11"/>
      <c r="K22" s="38">
        <v>5003.5590000000002</v>
      </c>
      <c r="L22" s="38">
        <v>4887.4319999999998</v>
      </c>
      <c r="M22" s="38">
        <v>5199.0150000000003</v>
      </c>
      <c r="N22" s="38">
        <v>5176.2979999999998</v>
      </c>
      <c r="O22" s="38">
        <v>5075.424</v>
      </c>
      <c r="P22" s="38">
        <v>5247.5789999999997</v>
      </c>
      <c r="Q22" s="11">
        <v>5316.7280000000001</v>
      </c>
      <c r="R22" s="11"/>
    </row>
    <row r="23" spans="2:18" x14ac:dyDescent="0.25">
      <c r="B23" s="13" t="s">
        <v>13</v>
      </c>
      <c r="C23" s="36">
        <v>49.11182850168921</v>
      </c>
      <c r="D23" s="36">
        <v>40.702430581530571</v>
      </c>
      <c r="E23" s="36">
        <v>38.910500273633382</v>
      </c>
      <c r="F23" s="36">
        <v>31.450732062941828</v>
      </c>
      <c r="G23" s="36">
        <v>23.149905758654789</v>
      </c>
      <c r="H23" s="36">
        <v>23.710376427364384</v>
      </c>
      <c r="I23" s="11">
        <v>30.31917</v>
      </c>
      <c r="J23" s="11"/>
      <c r="K23" s="38">
        <v>2819.2930000000001</v>
      </c>
      <c r="L23" s="38">
        <v>2394.0030000000002</v>
      </c>
      <c r="M23" s="38">
        <v>2340.6019999999999</v>
      </c>
      <c r="N23" s="38">
        <v>1929.242</v>
      </c>
      <c r="O23" s="38">
        <v>1452.0070000000001</v>
      </c>
      <c r="P23" s="38">
        <v>1514.6389999999999</v>
      </c>
      <c r="Q23" s="11">
        <v>1969.903</v>
      </c>
      <c r="R23" s="11"/>
    </row>
    <row r="24" spans="2:18" ht="25.5" customHeight="1" x14ac:dyDescent="0.25">
      <c r="B24" s="14" t="s">
        <v>14</v>
      </c>
      <c r="C24" s="36"/>
      <c r="D24" s="36"/>
      <c r="E24" s="36"/>
      <c r="F24" s="36"/>
      <c r="G24" s="36"/>
      <c r="H24" s="36"/>
      <c r="I24" s="11"/>
      <c r="J24" s="11"/>
      <c r="K24" s="38"/>
      <c r="L24" s="38"/>
      <c r="M24" s="38"/>
      <c r="N24" s="38"/>
      <c r="O24" s="38"/>
      <c r="P24" s="38"/>
      <c r="R24" s="11"/>
    </row>
    <row r="25" spans="2:18" x14ac:dyDescent="0.25">
      <c r="B25" s="15" t="s">
        <v>15</v>
      </c>
      <c r="C25" s="36">
        <v>25.719816784361381</v>
      </c>
      <c r="D25" s="36">
        <v>25.257934753779505</v>
      </c>
      <c r="E25" s="36">
        <v>24.089213126156626</v>
      </c>
      <c r="F25" s="36">
        <v>22.945411377444259</v>
      </c>
      <c r="G25" s="36">
        <v>19.913223347364575</v>
      </c>
      <c r="H25" s="36">
        <v>19.43931553822468</v>
      </c>
      <c r="I25" s="11">
        <v>20.397770000000001</v>
      </c>
      <c r="J25" s="11"/>
      <c r="K25" s="38">
        <v>1476.461</v>
      </c>
      <c r="L25" s="38">
        <v>1485.6010000000001</v>
      </c>
      <c r="M25" s="38">
        <v>1449.05</v>
      </c>
      <c r="N25" s="38">
        <v>1407.511</v>
      </c>
      <c r="O25" s="38">
        <v>1248.9960000000001</v>
      </c>
      <c r="P25" s="38">
        <v>1241.8</v>
      </c>
      <c r="Q25" s="11">
        <v>1325.288</v>
      </c>
      <c r="R25" s="11"/>
    </row>
    <row r="26" spans="2:18" x14ac:dyDescent="0.25">
      <c r="B26" s="13" t="s">
        <v>16</v>
      </c>
      <c r="C26" s="36">
        <v>56.027968012865649</v>
      </c>
      <c r="D26" s="36">
        <v>40.438885224050111</v>
      </c>
      <c r="E26" s="36">
        <v>29.648459241260856</v>
      </c>
      <c r="F26" s="36">
        <v>21.174593734900164</v>
      </c>
      <c r="G26" s="36">
        <v>17.378241170473999</v>
      </c>
      <c r="H26" s="36">
        <v>20.803041913186814</v>
      </c>
      <c r="I26" s="11">
        <v>32.007940000000005</v>
      </c>
      <c r="J26" s="11"/>
      <c r="K26" s="38">
        <v>3216.3180000000002</v>
      </c>
      <c r="L26" s="38">
        <v>2378.502</v>
      </c>
      <c r="M26" s="38">
        <v>1783.4580000000001</v>
      </c>
      <c r="N26" s="38">
        <v>1298.886</v>
      </c>
      <c r="O26" s="38">
        <v>1089.9970000000001</v>
      </c>
      <c r="P26" s="38">
        <v>1328.9159999999999</v>
      </c>
      <c r="Q26" s="11">
        <v>2079.6260000000002</v>
      </c>
      <c r="R26" s="11"/>
    </row>
    <row r="27" spans="2:18" x14ac:dyDescent="0.25">
      <c r="B27" s="13" t="s">
        <v>17</v>
      </c>
      <c r="C27" s="36">
        <v>78.048876084868397</v>
      </c>
      <c r="D27" s="36">
        <v>72.265731792740894</v>
      </c>
      <c r="E27" s="36">
        <v>77.095655978673221</v>
      </c>
      <c r="F27" s="36">
        <v>75.153728979233065</v>
      </c>
      <c r="G27" s="36">
        <v>69.195197087334989</v>
      </c>
      <c r="H27" s="36">
        <v>72.073665269012537</v>
      </c>
      <c r="I27" s="11">
        <v>70.696359999999999</v>
      </c>
      <c r="J27" s="11"/>
      <c r="K27" s="38">
        <v>4480.4409999999998</v>
      </c>
      <c r="L27" s="38">
        <v>4250.4679999999998</v>
      </c>
      <c r="M27" s="38">
        <v>4637.5720000000001</v>
      </c>
      <c r="N27" s="38">
        <v>4610.0590000000002</v>
      </c>
      <c r="O27" s="38">
        <v>4340.0569999999998</v>
      </c>
      <c r="P27" s="38">
        <v>4604.1270000000004</v>
      </c>
      <c r="Q27" s="11">
        <v>4593.2979999999998</v>
      </c>
      <c r="R27" s="11"/>
    </row>
    <row r="28" spans="2:18" x14ac:dyDescent="0.25">
      <c r="B28" s="13" t="s">
        <v>18</v>
      </c>
      <c r="C28" s="36">
        <v>22.552424346204671</v>
      </c>
      <c r="D28" s="36">
        <v>19.602497228701811</v>
      </c>
      <c r="E28" s="36">
        <v>19.383666580886093</v>
      </c>
      <c r="F28" s="36">
        <v>18.933557780903438</v>
      </c>
      <c r="G28" s="36">
        <v>14.467696630557029</v>
      </c>
      <c r="H28" s="36">
        <v>11.65770336493644</v>
      </c>
      <c r="I28" s="11">
        <v>10.35284</v>
      </c>
      <c r="J28" s="11"/>
      <c r="K28" s="38">
        <v>1294.635</v>
      </c>
      <c r="L28" s="38">
        <v>1152.9639999999999</v>
      </c>
      <c r="M28" s="38">
        <v>1165.9949999999999</v>
      </c>
      <c r="N28" s="38">
        <v>1161.4169999999999</v>
      </c>
      <c r="O28" s="38">
        <v>907.44200000000001</v>
      </c>
      <c r="P28" s="38">
        <v>744.70399999999995</v>
      </c>
      <c r="Q28" s="11">
        <v>672.64700000000005</v>
      </c>
      <c r="R28" s="11"/>
    </row>
    <row r="29" spans="2:18" x14ac:dyDescent="0.25">
      <c r="B29" s="13" t="s">
        <v>19</v>
      </c>
      <c r="C29" s="36">
        <v>38.790671568861427</v>
      </c>
      <c r="D29" s="36">
        <v>37.342070006732726</v>
      </c>
      <c r="E29" s="36">
        <v>34.830420451152619</v>
      </c>
      <c r="F29" s="36">
        <v>30.609689457680677</v>
      </c>
      <c r="G29" s="36">
        <v>25.718656023713553</v>
      </c>
      <c r="H29" s="36">
        <v>26.487625008120585</v>
      </c>
      <c r="I29" s="11">
        <v>26.18815</v>
      </c>
      <c r="J29" s="11"/>
      <c r="K29" s="38">
        <v>2226.8009999999999</v>
      </c>
      <c r="L29" s="38">
        <v>2196.3560000000002</v>
      </c>
      <c r="M29" s="38">
        <v>2095.1709999999998</v>
      </c>
      <c r="N29" s="38">
        <v>1877.6510000000001</v>
      </c>
      <c r="O29" s="38">
        <v>1613.124</v>
      </c>
      <c r="P29" s="38">
        <v>1692.0519999999999</v>
      </c>
      <c r="Q29" s="11">
        <v>1701.502</v>
      </c>
      <c r="R29" s="11"/>
    </row>
    <row r="30" spans="2:18" x14ac:dyDescent="0.25">
      <c r="B30" s="13" t="s">
        <v>20</v>
      </c>
      <c r="C30" s="36">
        <v>27.067403552058877</v>
      </c>
      <c r="D30" s="36">
        <v>27.558350278489968</v>
      </c>
      <c r="E30" s="36">
        <v>30.145720580089463</v>
      </c>
      <c r="F30" s="36">
        <v>23.853260065091099</v>
      </c>
      <c r="G30" s="36">
        <v>20.096492551091373</v>
      </c>
      <c r="H30" s="36">
        <v>20.841895497633484</v>
      </c>
      <c r="I30" s="11">
        <v>27.340419999999998</v>
      </c>
      <c r="J30" s="11"/>
      <c r="K30" s="38">
        <v>1553.82</v>
      </c>
      <c r="L30" s="38">
        <v>1620.905</v>
      </c>
      <c r="M30" s="38">
        <v>1813.37</v>
      </c>
      <c r="N30" s="38">
        <v>1463.2</v>
      </c>
      <c r="O30" s="38">
        <v>1260.491</v>
      </c>
      <c r="P30" s="38">
        <v>1331.3979999999999</v>
      </c>
      <c r="Q30" s="11">
        <v>1776.367</v>
      </c>
      <c r="R30" s="11"/>
    </row>
    <row r="31" spans="2:18" x14ac:dyDescent="0.25">
      <c r="B31" s="7" t="s">
        <v>21</v>
      </c>
      <c r="C31" s="36"/>
      <c r="D31" s="36"/>
      <c r="E31" s="36"/>
      <c r="F31" s="36"/>
      <c r="G31" s="36"/>
      <c r="H31" s="36"/>
      <c r="I31" s="11"/>
      <c r="J31" s="11"/>
      <c r="K31" s="38"/>
      <c r="L31" s="38"/>
      <c r="M31" s="38"/>
      <c r="N31" s="38"/>
      <c r="O31" s="38"/>
      <c r="P31" s="38"/>
      <c r="R31" s="11"/>
    </row>
    <row r="32" spans="2:18" ht="15" customHeight="1" x14ac:dyDescent="0.25">
      <c r="B32" s="15" t="s">
        <v>22</v>
      </c>
      <c r="C32" s="36">
        <v>26.888518502905118</v>
      </c>
      <c r="D32" s="36">
        <v>27.65786198594969</v>
      </c>
      <c r="E32" s="36">
        <v>32.942632745437173</v>
      </c>
      <c r="F32" s="36">
        <v>31.853492207261226</v>
      </c>
      <c r="G32" s="36">
        <v>23.115069463731512</v>
      </c>
      <c r="H32" s="36">
        <v>22.297903049192364</v>
      </c>
      <c r="I32" s="11">
        <v>31.372729999999997</v>
      </c>
      <c r="J32" s="11"/>
      <c r="K32" s="38">
        <v>1543.5509999999999</v>
      </c>
      <c r="L32" s="38">
        <v>1626.758</v>
      </c>
      <c r="M32" s="38">
        <v>1981.614</v>
      </c>
      <c r="N32" s="38">
        <v>1953.9480000000001</v>
      </c>
      <c r="O32" s="38">
        <v>1449.8219999999999</v>
      </c>
      <c r="P32" s="38">
        <v>1424.4090000000001</v>
      </c>
      <c r="Q32" s="11">
        <v>2038.355</v>
      </c>
      <c r="R32" s="11"/>
    </row>
    <row r="33" spans="1:18" ht="15" customHeight="1" thickBot="1" x14ac:dyDescent="0.3">
      <c r="A33" s="17"/>
      <c r="B33" s="35" t="s">
        <v>23</v>
      </c>
      <c r="C33" s="37">
        <v>68.593662846016016</v>
      </c>
      <c r="D33" s="37">
        <v>67.050216603306509</v>
      </c>
      <c r="E33" s="37">
        <v>68.690872082546178</v>
      </c>
      <c r="F33" s="37">
        <v>69.657127318894879</v>
      </c>
      <c r="G33" s="37">
        <v>65.646199718950015</v>
      </c>
      <c r="H33" s="37">
        <v>65.04068120571344</v>
      </c>
      <c r="I33" s="37">
        <v>70.199190000000002</v>
      </c>
      <c r="J33" s="18"/>
      <c r="K33" s="39">
        <v>3937.6590000000001</v>
      </c>
      <c r="L33" s="39">
        <v>3943.7060000000001</v>
      </c>
      <c r="M33" s="39">
        <v>4131.9949999999999</v>
      </c>
      <c r="N33" s="39">
        <v>4272.8879999999999</v>
      </c>
      <c r="O33" s="39">
        <v>4117.4570000000003</v>
      </c>
      <c r="P33" s="39">
        <v>4154.8540000000003</v>
      </c>
      <c r="Q33" s="48">
        <v>4560.9960000000001</v>
      </c>
      <c r="R33" s="18"/>
    </row>
    <row r="34" spans="1:18" ht="15.75" thickTop="1" x14ac:dyDescent="0.25">
      <c r="B34" s="19" t="s">
        <v>47</v>
      </c>
    </row>
    <row r="35" spans="1:18" x14ac:dyDescent="0.25">
      <c r="B35" s="19" t="s">
        <v>35</v>
      </c>
    </row>
    <row r="36" spans="1:18" x14ac:dyDescent="0.25">
      <c r="B36" s="27"/>
      <c r="C36" s="27"/>
      <c r="D36" s="29"/>
      <c r="E36" s="29"/>
    </row>
    <row r="37" spans="1:18" x14ac:dyDescent="0.25">
      <c r="B37" s="27"/>
      <c r="C37" s="28"/>
      <c r="D37" s="29"/>
      <c r="E37" s="29"/>
    </row>
    <row r="38" spans="1:18" x14ac:dyDescent="0.25">
      <c r="B38" s="80"/>
      <c r="C38" s="80"/>
      <c r="D38" s="80"/>
      <c r="E38" s="80"/>
    </row>
    <row r="39" spans="1:18" x14ac:dyDescent="0.25">
      <c r="B39" s="80"/>
      <c r="C39" s="80"/>
      <c r="D39" s="80"/>
      <c r="E39" s="80"/>
    </row>
    <row r="42" spans="1:18" x14ac:dyDescent="0.25">
      <c r="E42" s="46"/>
    </row>
    <row r="43" spans="1:18" x14ac:dyDescent="0.25">
      <c r="E43" s="46"/>
    </row>
    <row r="44" spans="1:18" x14ac:dyDescent="0.25">
      <c r="E44" s="46"/>
    </row>
    <row r="45" spans="1:18" x14ac:dyDescent="0.25">
      <c r="E45" s="46"/>
    </row>
    <row r="46" spans="1:18" x14ac:dyDescent="0.25">
      <c r="E46" s="46"/>
    </row>
    <row r="47" spans="1:18" x14ac:dyDescent="0.25">
      <c r="E47" s="46"/>
    </row>
  </sheetData>
  <mergeCells count="9">
    <mergeCell ref="B38:E38"/>
    <mergeCell ref="B39:E39"/>
    <mergeCell ref="B11:B13"/>
    <mergeCell ref="C11:R11"/>
    <mergeCell ref="B4:R4"/>
    <mergeCell ref="B9:R9"/>
    <mergeCell ref="B10:R10"/>
    <mergeCell ref="C12:I12"/>
    <mergeCell ref="K12:Q12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A55F2-3A7C-4731-8B35-C31DADFEF4E1}">
  <dimension ref="A4:R48"/>
  <sheetViews>
    <sheetView workbookViewId="0">
      <selection activeCell="P3" sqref="P3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10.5703125" style="2" customWidth="1"/>
    <col min="17" max="17" width="9.7109375" style="2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customHeight="1" x14ac:dyDescent="0.25">
      <c r="A9" s="1"/>
      <c r="B9" s="70" t="s">
        <v>61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36">
        <v>35.214429642897123</v>
      </c>
      <c r="D15" s="36">
        <v>41.410630398033881</v>
      </c>
      <c r="E15" s="36">
        <v>36.917077355643087</v>
      </c>
      <c r="F15" s="36">
        <v>34.175291260220789</v>
      </c>
      <c r="G15" s="36">
        <v>31.119215753466573</v>
      </c>
      <c r="H15" s="36">
        <v>27.580786558533799</v>
      </c>
      <c r="I15" s="11">
        <v>32.854210000000002</v>
      </c>
      <c r="J15" s="11"/>
      <c r="K15" s="38">
        <v>629.14099999999996</v>
      </c>
      <c r="L15" s="38">
        <v>766.99900000000002</v>
      </c>
      <c r="M15" s="38">
        <v>707.43899999999996</v>
      </c>
      <c r="N15" s="38">
        <v>675.67899999999997</v>
      </c>
      <c r="O15" s="38">
        <v>635.67999999999995</v>
      </c>
      <c r="P15" s="38">
        <v>579.19899999999996</v>
      </c>
      <c r="Q15" s="11">
        <v>708.27200000000005</v>
      </c>
      <c r="R15" s="11"/>
    </row>
    <row r="16" spans="1:18" ht="15" customHeight="1" x14ac:dyDescent="0.25">
      <c r="B16" s="10" t="s">
        <v>6</v>
      </c>
      <c r="C16" s="36">
        <v>29.750195902832193</v>
      </c>
      <c r="D16" s="36">
        <v>33.989641389952055</v>
      </c>
      <c r="E16" s="36">
        <v>31.765826919905731</v>
      </c>
      <c r="F16" s="36">
        <v>30.325203909973101</v>
      </c>
      <c r="G16" s="36">
        <v>28.195816862279553</v>
      </c>
      <c r="H16" s="36">
        <v>25.619128298973958</v>
      </c>
      <c r="I16" s="11">
        <v>29.153590000000001</v>
      </c>
      <c r="J16" s="11"/>
      <c r="K16" s="38">
        <v>531.51700000000005</v>
      </c>
      <c r="L16" s="38">
        <v>629.54899999999998</v>
      </c>
      <c r="M16" s="38">
        <v>608.726</v>
      </c>
      <c r="N16" s="38">
        <v>599.55899999999997</v>
      </c>
      <c r="O16" s="38">
        <v>575.96299999999997</v>
      </c>
      <c r="P16" s="38">
        <v>538.00400000000002</v>
      </c>
      <c r="Q16" s="11">
        <v>628.49400000000003</v>
      </c>
      <c r="R16" s="11"/>
    </row>
    <row r="17" spans="2:18" ht="15" customHeight="1" x14ac:dyDescent="0.25">
      <c r="B17" s="10" t="s">
        <v>7</v>
      </c>
      <c r="C17" s="36">
        <v>5.4642337400649277</v>
      </c>
      <c r="D17" s="36">
        <v>7.4209890080818326</v>
      </c>
      <c r="E17" s="36">
        <v>5.1512504357373512</v>
      </c>
      <c r="F17" s="36">
        <v>3.8500873502476862</v>
      </c>
      <c r="G17" s="36">
        <v>2.9233988911870172</v>
      </c>
      <c r="H17" s="36">
        <v>1.9616582595598402</v>
      </c>
      <c r="I17" s="11">
        <v>3.7006200000000002</v>
      </c>
      <c r="J17" s="11"/>
      <c r="K17" s="38">
        <v>97.623999999999995</v>
      </c>
      <c r="L17" s="38">
        <v>137.44999999999999</v>
      </c>
      <c r="M17" s="38">
        <v>98.712999999999994</v>
      </c>
      <c r="N17" s="38">
        <v>76.12</v>
      </c>
      <c r="O17" s="38">
        <v>59.716999999999999</v>
      </c>
      <c r="P17" s="38">
        <v>41.195</v>
      </c>
      <c r="Q17" s="11">
        <v>79.778000000000006</v>
      </c>
      <c r="R17" s="11"/>
    </row>
    <row r="18" spans="2:18" ht="15" customHeight="1" x14ac:dyDescent="0.25">
      <c r="B18" s="10" t="s">
        <v>8</v>
      </c>
      <c r="C18" s="36">
        <v>35.030784730773533</v>
      </c>
      <c r="D18" s="36">
        <v>31.740020807924076</v>
      </c>
      <c r="E18" s="36">
        <v>32.637719095002218</v>
      </c>
      <c r="F18" s="36">
        <v>33.087130734035441</v>
      </c>
      <c r="G18" s="36">
        <v>32.002692481856343</v>
      </c>
      <c r="H18" s="36">
        <v>38.018932299813955</v>
      </c>
      <c r="I18" s="11">
        <v>32.29813</v>
      </c>
      <c r="J18" s="11"/>
      <c r="K18" s="38">
        <v>625.86</v>
      </c>
      <c r="L18" s="38">
        <v>587.88199999999995</v>
      </c>
      <c r="M18" s="38">
        <v>625.43399999999997</v>
      </c>
      <c r="N18" s="38">
        <v>654.16499999999996</v>
      </c>
      <c r="O18" s="38">
        <v>653.72699999999998</v>
      </c>
      <c r="P18" s="38">
        <v>798.40099999999995</v>
      </c>
      <c r="Q18" s="11">
        <v>696.28399999999999</v>
      </c>
      <c r="R18" s="11"/>
    </row>
    <row r="19" spans="2:18" ht="15" customHeight="1" x14ac:dyDescent="0.25">
      <c r="B19" s="10" t="s">
        <v>9</v>
      </c>
      <c r="C19" s="36">
        <v>5.0921303033695287</v>
      </c>
      <c r="D19" s="36">
        <v>5.0197092181695178</v>
      </c>
      <c r="E19" s="36">
        <v>6.4189069306765347</v>
      </c>
      <c r="F19" s="36">
        <v>7.8270778686741886</v>
      </c>
      <c r="G19" s="36">
        <v>8.9327246692530817</v>
      </c>
      <c r="H19" s="36">
        <v>6.3436394796403253</v>
      </c>
      <c r="I19" s="11">
        <v>8.32423</v>
      </c>
      <c r="J19" s="11"/>
      <c r="K19" s="38">
        <v>90.975999999999999</v>
      </c>
      <c r="L19" s="38">
        <v>92.974000000000004</v>
      </c>
      <c r="M19" s="38">
        <v>123.005</v>
      </c>
      <c r="N19" s="38">
        <v>154.749</v>
      </c>
      <c r="O19" s="38">
        <v>182.471</v>
      </c>
      <c r="P19" s="38">
        <v>133.21700000000001</v>
      </c>
      <c r="Q19" s="11">
        <v>179.45400000000001</v>
      </c>
      <c r="R19" s="11"/>
    </row>
    <row r="20" spans="2:18" ht="15" customHeight="1" x14ac:dyDescent="0.25">
      <c r="B20" s="10" t="s">
        <v>10</v>
      </c>
      <c r="C20" s="36">
        <v>24.662655322959811</v>
      </c>
      <c r="D20" s="36">
        <v>21.829639575872527</v>
      </c>
      <c r="E20" s="36">
        <v>24.026296618678156</v>
      </c>
      <c r="F20" s="36">
        <v>24.910500137069583</v>
      </c>
      <c r="G20" s="36">
        <v>27.945367095424007</v>
      </c>
      <c r="H20" s="36">
        <v>28.056641662011927</v>
      </c>
      <c r="I20" s="11">
        <v>26.523429999999998</v>
      </c>
      <c r="J20" s="11"/>
      <c r="K20" s="38">
        <v>440.62299999999999</v>
      </c>
      <c r="L20" s="38">
        <v>404.32400000000001</v>
      </c>
      <c r="M20" s="38">
        <v>460.41399999999999</v>
      </c>
      <c r="N20" s="38">
        <v>492.505</v>
      </c>
      <c r="O20" s="38">
        <v>570.84699999999998</v>
      </c>
      <c r="P20" s="38">
        <v>589.19200000000001</v>
      </c>
      <c r="Q20" s="11">
        <v>571.79300000000001</v>
      </c>
      <c r="R20" s="11"/>
    </row>
    <row r="21" spans="2:18" x14ac:dyDescent="0.25">
      <c r="B21" s="12" t="s">
        <v>11</v>
      </c>
      <c r="C21" s="36"/>
      <c r="D21" s="36"/>
      <c r="E21" s="36"/>
      <c r="F21" s="36"/>
      <c r="G21" s="36"/>
      <c r="H21" s="36"/>
      <c r="I21" s="11"/>
      <c r="J21" s="11"/>
      <c r="K21" s="38"/>
      <c r="L21" s="38"/>
      <c r="M21" s="38"/>
      <c r="N21" s="38"/>
      <c r="O21" s="38"/>
      <c r="P21" s="38"/>
      <c r="R21" s="11"/>
    </row>
    <row r="22" spans="2:18" x14ac:dyDescent="0.25">
      <c r="B22" s="13" t="s">
        <v>12</v>
      </c>
      <c r="C22" s="36">
        <v>70.245214373670663</v>
      </c>
      <c r="D22" s="36">
        <v>73.150651205957956</v>
      </c>
      <c r="E22" s="36">
        <v>69.554796450645313</v>
      </c>
      <c r="F22" s="36">
        <v>67.262421994256229</v>
      </c>
      <c r="G22" s="36">
        <v>63.121908235322913</v>
      </c>
      <c r="H22" s="36">
        <v>65.599718858347757</v>
      </c>
      <c r="I22" s="11">
        <v>65.152339999999995</v>
      </c>
      <c r="J22" s="11"/>
      <c r="K22" s="38">
        <v>1255.001</v>
      </c>
      <c r="L22" s="38">
        <v>1354.8810000000001</v>
      </c>
      <c r="M22" s="38">
        <v>1332.873</v>
      </c>
      <c r="N22" s="38">
        <v>1329.8440000000001</v>
      </c>
      <c r="O22" s="38">
        <v>1289.4069999999999</v>
      </c>
      <c r="P22" s="38">
        <v>1377.6</v>
      </c>
      <c r="Q22" s="11">
        <v>1404.556</v>
      </c>
      <c r="R22" s="11"/>
    </row>
    <row r="23" spans="2:18" x14ac:dyDescent="0.25">
      <c r="B23" s="13" t="s">
        <v>13</v>
      </c>
      <c r="C23" s="36">
        <v>21.026642785178552</v>
      </c>
      <c r="D23" s="36">
        <v>20.204310706470597</v>
      </c>
      <c r="E23" s="36">
        <v>16.91574144232716</v>
      </c>
      <c r="F23" s="36">
        <v>14.176788404014367</v>
      </c>
      <c r="G23" s="36">
        <v>11.51378673095987</v>
      </c>
      <c r="H23" s="36">
        <v>11.062524017754209</v>
      </c>
      <c r="I23" s="11">
        <v>13.326360000000001</v>
      </c>
      <c r="J23" s="11"/>
      <c r="K23" s="38">
        <v>375.66199999999998</v>
      </c>
      <c r="L23" s="38">
        <v>374.22</v>
      </c>
      <c r="M23" s="38">
        <v>324.15499999999997</v>
      </c>
      <c r="N23" s="38">
        <v>280.28899999999999</v>
      </c>
      <c r="O23" s="38">
        <v>235.19499999999999</v>
      </c>
      <c r="P23" s="38">
        <v>232.31399999999999</v>
      </c>
      <c r="Q23" s="11">
        <v>287.29000000000002</v>
      </c>
      <c r="R23" s="11"/>
    </row>
    <row r="24" spans="2:18" ht="25.5" customHeight="1" x14ac:dyDescent="0.25">
      <c r="B24" s="14" t="s">
        <v>14</v>
      </c>
      <c r="C24" s="36"/>
      <c r="D24" s="36"/>
      <c r="E24" s="36"/>
      <c r="F24" s="36"/>
      <c r="G24" s="36"/>
      <c r="H24" s="36"/>
      <c r="I24" s="11"/>
      <c r="J24" s="11"/>
      <c r="K24" s="38"/>
      <c r="L24" s="38"/>
      <c r="M24" s="38"/>
      <c r="N24" s="38"/>
      <c r="O24" s="38"/>
      <c r="P24" s="38"/>
      <c r="R24" s="11"/>
    </row>
    <row r="25" spans="2:18" x14ac:dyDescent="0.25">
      <c r="B25" s="15" t="s">
        <v>15</v>
      </c>
      <c r="C25" s="36">
        <v>20.414250531736258</v>
      </c>
      <c r="D25" s="36">
        <v>19.50799571747655</v>
      </c>
      <c r="E25" s="36">
        <v>17.497437760007347</v>
      </c>
      <c r="F25" s="36">
        <v>16.408392502546661</v>
      </c>
      <c r="G25" s="36">
        <v>14.237207651543892</v>
      </c>
      <c r="H25" s="36">
        <v>14.777174764489104</v>
      </c>
      <c r="I25" s="11">
        <v>13.688819999999998</v>
      </c>
      <c r="J25" s="11"/>
      <c r="K25" s="38">
        <v>364.721</v>
      </c>
      <c r="L25" s="38">
        <v>361.32299999999998</v>
      </c>
      <c r="M25" s="38">
        <v>335.30200000000002</v>
      </c>
      <c r="N25" s="38">
        <v>324.41000000000003</v>
      </c>
      <c r="O25" s="38">
        <v>290.827</v>
      </c>
      <c r="P25" s="38">
        <v>310.322</v>
      </c>
      <c r="Q25" s="11">
        <v>295.10399999999998</v>
      </c>
      <c r="R25" s="11"/>
    </row>
    <row r="26" spans="2:18" x14ac:dyDescent="0.25">
      <c r="B26" s="13" t="s">
        <v>16</v>
      </c>
      <c r="C26" s="36">
        <v>26.788257024515836</v>
      </c>
      <c r="D26" s="36">
        <v>22.068061456263134</v>
      </c>
      <c r="E26" s="36">
        <v>15.486209826059913</v>
      </c>
      <c r="F26" s="36">
        <v>15.818538079548913</v>
      </c>
      <c r="G26" s="36">
        <v>13.174313723090481</v>
      </c>
      <c r="H26" s="36">
        <v>11.834044520761577</v>
      </c>
      <c r="I26" s="11">
        <v>20.880199999999999</v>
      </c>
      <c r="J26" s="11"/>
      <c r="K26" s="38">
        <v>478.59899999999999</v>
      </c>
      <c r="L26" s="38">
        <v>408.74</v>
      </c>
      <c r="M26" s="38">
        <v>296.76100000000002</v>
      </c>
      <c r="N26" s="38">
        <v>312.74799999999999</v>
      </c>
      <c r="O26" s="38">
        <v>269.11500000000001</v>
      </c>
      <c r="P26" s="38">
        <v>248.51599999999999</v>
      </c>
      <c r="Q26" s="11">
        <v>450.13600000000002</v>
      </c>
      <c r="R26" s="11"/>
    </row>
    <row r="27" spans="2:18" x14ac:dyDescent="0.25">
      <c r="B27" s="13" t="s">
        <v>17</v>
      </c>
      <c r="C27" s="36">
        <v>57.677264077017796</v>
      </c>
      <c r="D27" s="36">
        <v>60.606237302118203</v>
      </c>
      <c r="E27" s="36">
        <v>56.737543130170145</v>
      </c>
      <c r="F27" s="36">
        <v>54.313089184248831</v>
      </c>
      <c r="G27" s="36">
        <v>48.435251930631878</v>
      </c>
      <c r="H27" s="36">
        <v>52.664298105389072</v>
      </c>
      <c r="I27" s="11">
        <v>51.00188</v>
      </c>
      <c r="J27" s="11"/>
      <c r="K27" s="38">
        <v>1030.462</v>
      </c>
      <c r="L27" s="38">
        <v>1122.5360000000001</v>
      </c>
      <c r="M27" s="38">
        <v>1087.2570000000001</v>
      </c>
      <c r="N27" s="38">
        <v>1073.8230000000001</v>
      </c>
      <c r="O27" s="38">
        <v>989.399</v>
      </c>
      <c r="P27" s="38">
        <v>1105.9549999999999</v>
      </c>
      <c r="Q27" s="11">
        <v>1099.5</v>
      </c>
      <c r="R27" s="11"/>
    </row>
    <row r="28" spans="2:18" x14ac:dyDescent="0.25">
      <c r="B28" s="13" t="s">
        <v>18</v>
      </c>
      <c r="C28" s="36">
        <v>11.883689689913803</v>
      </c>
      <c r="D28" s="36">
        <v>9.8833860010290575</v>
      </c>
      <c r="E28" s="36">
        <v>10.941234425651206</v>
      </c>
      <c r="F28" s="36">
        <v>8.9382519227676127</v>
      </c>
      <c r="G28" s="36">
        <v>9.7142297666107762</v>
      </c>
      <c r="H28" s="36">
        <v>8.4762017686590863</v>
      </c>
      <c r="I28" s="11">
        <v>6.7169400000000001</v>
      </c>
      <c r="J28" s="11"/>
      <c r="K28" s="38">
        <v>212.31399999999999</v>
      </c>
      <c r="L28" s="38">
        <v>183.05799999999999</v>
      </c>
      <c r="M28" s="38">
        <v>209.666</v>
      </c>
      <c r="N28" s="38">
        <v>176.71799999999999</v>
      </c>
      <c r="O28" s="38">
        <v>198.435</v>
      </c>
      <c r="P28" s="38">
        <v>178.001</v>
      </c>
      <c r="Q28" s="11">
        <v>144.804</v>
      </c>
      <c r="R28" s="11"/>
    </row>
    <row r="29" spans="2:18" x14ac:dyDescent="0.25">
      <c r="B29" s="13" t="s">
        <v>19</v>
      </c>
      <c r="C29" s="36">
        <v>14.245606179335049</v>
      </c>
      <c r="D29" s="36">
        <v>17.57826862306505</v>
      </c>
      <c r="E29" s="36">
        <v>14.932223272862382</v>
      </c>
      <c r="F29" s="36">
        <v>14.788847088004742</v>
      </c>
      <c r="G29" s="36">
        <v>12.745034206758129</v>
      </c>
      <c r="H29" s="36">
        <v>12.672231404722551</v>
      </c>
      <c r="I29" s="11">
        <v>9.9673800000000004</v>
      </c>
      <c r="J29" s="11"/>
      <c r="K29" s="38">
        <v>254.512</v>
      </c>
      <c r="L29" s="38">
        <v>325.58100000000002</v>
      </c>
      <c r="M29" s="38">
        <v>286.14499999999998</v>
      </c>
      <c r="N29" s="38">
        <v>292.39</v>
      </c>
      <c r="O29" s="38">
        <v>260.346</v>
      </c>
      <c r="P29" s="38">
        <v>266.11799999999999</v>
      </c>
      <c r="Q29" s="11">
        <v>214.87700000000001</v>
      </c>
      <c r="R29" s="11"/>
    </row>
    <row r="30" spans="2:18" x14ac:dyDescent="0.25">
      <c r="B30" s="13" t="s">
        <v>20</v>
      </c>
      <c r="C30" s="36">
        <v>17.93344900929139</v>
      </c>
      <c r="D30" s="36">
        <v>21.262955686248468</v>
      </c>
      <c r="E30" s="36">
        <v>19.849584510085101</v>
      </c>
      <c r="F30" s="36">
        <v>15.771701756817317</v>
      </c>
      <c r="G30" s="36">
        <v>13.375956137022849</v>
      </c>
      <c r="H30" s="36">
        <v>13.870559602363608</v>
      </c>
      <c r="I30" s="11">
        <v>16.965</v>
      </c>
      <c r="J30" s="11"/>
      <c r="K30" s="38">
        <v>320.399</v>
      </c>
      <c r="L30" s="38">
        <v>393.82799999999997</v>
      </c>
      <c r="M30" s="38">
        <v>380.37599999999998</v>
      </c>
      <c r="N30" s="38">
        <v>311.822</v>
      </c>
      <c r="O30" s="38">
        <v>273.23399999999998</v>
      </c>
      <c r="P30" s="38">
        <v>291.28300000000002</v>
      </c>
      <c r="Q30" s="11">
        <v>365.73200000000003</v>
      </c>
      <c r="R30" s="11"/>
    </row>
    <row r="31" spans="2:18" x14ac:dyDescent="0.25">
      <c r="B31" s="7" t="s">
        <v>21</v>
      </c>
      <c r="C31" s="36"/>
      <c r="D31" s="36"/>
      <c r="E31" s="36"/>
      <c r="F31" s="36"/>
      <c r="G31" s="36"/>
      <c r="H31" s="36"/>
      <c r="I31" s="11"/>
      <c r="J31" s="11"/>
      <c r="K31" s="38"/>
      <c r="L31" s="38"/>
      <c r="M31" s="38"/>
      <c r="N31" s="38"/>
      <c r="O31" s="38"/>
      <c r="P31" s="38"/>
      <c r="R31" s="11"/>
    </row>
    <row r="32" spans="2:18" ht="15" customHeight="1" x14ac:dyDescent="0.25">
      <c r="B32" s="15" t="s">
        <v>22</v>
      </c>
      <c r="C32" s="36">
        <v>10.963282212022836</v>
      </c>
      <c r="D32" s="36">
        <v>16.038244683694177</v>
      </c>
      <c r="E32" s="36">
        <v>14.650742162467933</v>
      </c>
      <c r="F32" s="36">
        <v>12.274505360887524</v>
      </c>
      <c r="G32" s="36">
        <v>9.9518045747714439</v>
      </c>
      <c r="H32" s="36">
        <v>7.6714909317055309</v>
      </c>
      <c r="I32" s="11">
        <v>12.179679999999999</v>
      </c>
      <c r="J32" s="11"/>
      <c r="K32" s="38">
        <v>195.87</v>
      </c>
      <c r="L32" s="38">
        <v>297.05700000000002</v>
      </c>
      <c r="M32" s="38">
        <v>280.75099999999998</v>
      </c>
      <c r="N32" s="38">
        <v>242.679</v>
      </c>
      <c r="O32" s="38">
        <v>203.28800000000001</v>
      </c>
      <c r="P32" s="38">
        <v>161.102</v>
      </c>
      <c r="Q32" s="11">
        <v>262.57</v>
      </c>
      <c r="R32" s="11"/>
    </row>
    <row r="33" spans="1:18" ht="15" customHeight="1" thickBot="1" x14ac:dyDescent="0.3">
      <c r="A33" s="17"/>
      <c r="B33" s="35" t="s">
        <v>23</v>
      </c>
      <c r="C33" s="37">
        <v>40.306559946266653</v>
      </c>
      <c r="D33" s="37">
        <v>46.430339616203405</v>
      </c>
      <c r="E33" s="37">
        <v>43.335984286319622</v>
      </c>
      <c r="F33" s="37">
        <v>42.002369128894976</v>
      </c>
      <c r="G33" s="37">
        <v>40.051940422719653</v>
      </c>
      <c r="H33" s="37">
        <v>33.924426038174119</v>
      </c>
      <c r="I33" s="37">
        <v>41.178440000000002</v>
      </c>
      <c r="J33" s="18"/>
      <c r="K33" s="39">
        <v>720.11699999999996</v>
      </c>
      <c r="L33" s="39">
        <v>859.97299999999996</v>
      </c>
      <c r="M33" s="39">
        <v>830.44399999999996</v>
      </c>
      <c r="N33" s="39">
        <v>830.428</v>
      </c>
      <c r="O33" s="39">
        <v>818.15099999999995</v>
      </c>
      <c r="P33" s="39">
        <v>712.41600000000005</v>
      </c>
      <c r="Q33" s="50">
        <v>887.726</v>
      </c>
      <c r="R33" s="18"/>
    </row>
    <row r="34" spans="1:18" ht="15.75" thickTop="1" x14ac:dyDescent="0.25">
      <c r="B34" s="19" t="s">
        <v>47</v>
      </c>
      <c r="Q34" s="49"/>
    </row>
    <row r="35" spans="1:18" x14ac:dyDescent="0.25">
      <c r="B35" s="19" t="s">
        <v>35</v>
      </c>
    </row>
    <row r="36" spans="1:18" x14ac:dyDescent="0.25">
      <c r="B36" s="27"/>
      <c r="C36" s="27"/>
      <c r="D36" s="29"/>
      <c r="E36" s="29"/>
    </row>
    <row r="37" spans="1:18" x14ac:dyDescent="0.25">
      <c r="B37" s="27"/>
      <c r="C37" s="28"/>
      <c r="D37" s="29"/>
      <c r="E37" s="29"/>
    </row>
    <row r="38" spans="1:18" x14ac:dyDescent="0.25">
      <c r="B38" s="80"/>
      <c r="C38" s="80"/>
      <c r="D38" s="80"/>
      <c r="E38" s="80"/>
    </row>
    <row r="39" spans="1:18" x14ac:dyDescent="0.25">
      <c r="B39" s="80"/>
      <c r="C39" s="80"/>
      <c r="D39" s="80"/>
      <c r="E39" s="80"/>
    </row>
    <row r="43" spans="1:18" x14ac:dyDescent="0.25">
      <c r="E43" s="46"/>
    </row>
    <row r="44" spans="1:18" x14ac:dyDescent="0.25">
      <c r="E44" s="46"/>
    </row>
    <row r="45" spans="1:18" x14ac:dyDescent="0.25">
      <c r="E45" s="46"/>
    </row>
    <row r="46" spans="1:18" x14ac:dyDescent="0.25">
      <c r="E46" s="46"/>
    </row>
    <row r="47" spans="1:18" x14ac:dyDescent="0.25">
      <c r="E47" s="46"/>
    </row>
    <row r="48" spans="1:18" x14ac:dyDescent="0.25">
      <c r="E48" s="46"/>
    </row>
  </sheetData>
  <mergeCells count="9">
    <mergeCell ref="B38:E38"/>
    <mergeCell ref="B39:E39"/>
    <mergeCell ref="B11:B13"/>
    <mergeCell ref="C11:R11"/>
    <mergeCell ref="B4:R4"/>
    <mergeCell ref="B9:R9"/>
    <mergeCell ref="B10:R10"/>
    <mergeCell ref="C12:I12"/>
    <mergeCell ref="K12:Q12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A8252-B9B8-4882-8CB8-DC17D02BA2BC}">
  <dimension ref="A4:R47"/>
  <sheetViews>
    <sheetView workbookViewId="0">
      <selection activeCell="AA31" sqref="AA31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10.5703125" style="2" customWidth="1"/>
    <col min="17" max="17" width="8.85546875" style="2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customHeight="1" x14ac:dyDescent="0.25">
      <c r="A9" s="1"/>
      <c r="B9" s="70" t="s">
        <v>62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36">
        <v>33.690569684302638</v>
      </c>
      <c r="D15" s="36">
        <v>34.62680475635743</v>
      </c>
      <c r="E15" s="36">
        <v>38.793321928657413</v>
      </c>
      <c r="F15" s="36">
        <v>35.882197981308025</v>
      </c>
      <c r="G15" s="36">
        <v>28.846836915916469</v>
      </c>
      <c r="H15" s="36">
        <v>27.565429965859096</v>
      </c>
      <c r="I15" s="11">
        <v>44.835429999999995</v>
      </c>
      <c r="J15" s="11"/>
      <c r="K15" s="38">
        <v>428.13099999999997</v>
      </c>
      <c r="L15" s="38">
        <v>471.72199999999998</v>
      </c>
      <c r="M15" s="38">
        <v>563.29300000000001</v>
      </c>
      <c r="N15" s="38">
        <v>553.01499999999999</v>
      </c>
      <c r="O15" s="38">
        <v>471.04</v>
      </c>
      <c r="P15" s="38">
        <v>474.83300000000003</v>
      </c>
      <c r="Q15" s="11">
        <v>812.13599999999997</v>
      </c>
      <c r="R15" s="11"/>
    </row>
    <row r="16" spans="1:18" ht="15" customHeight="1" x14ac:dyDescent="0.25">
      <c r="B16" s="10" t="s">
        <v>6</v>
      </c>
      <c r="C16" s="36">
        <v>25.956700404635285</v>
      </c>
      <c r="D16" s="36">
        <v>28.20092152773649</v>
      </c>
      <c r="E16" s="36">
        <v>30.380307375299235</v>
      </c>
      <c r="F16" s="36">
        <v>28.902942909273062</v>
      </c>
      <c r="G16" s="36">
        <v>24.609896503153898</v>
      </c>
      <c r="H16" s="36">
        <v>24.094853785077735</v>
      </c>
      <c r="I16" s="11">
        <v>35.313250000000004</v>
      </c>
      <c r="J16" s="11"/>
      <c r="K16" s="38">
        <v>329.851</v>
      </c>
      <c r="L16" s="38">
        <v>384.18200000000002</v>
      </c>
      <c r="M16" s="38">
        <v>441.13299999999998</v>
      </c>
      <c r="N16" s="38">
        <v>445.45100000000002</v>
      </c>
      <c r="O16" s="38">
        <v>401.85500000000002</v>
      </c>
      <c r="P16" s="38">
        <v>415.05</v>
      </c>
      <c r="Q16" s="11">
        <v>639.654</v>
      </c>
      <c r="R16" s="11"/>
    </row>
    <row r="17" spans="2:18" ht="15" customHeight="1" x14ac:dyDescent="0.25">
      <c r="B17" s="10" t="s">
        <v>7</v>
      </c>
      <c r="C17" s="36">
        <v>7.7338692796673518</v>
      </c>
      <c r="D17" s="36">
        <v>6.425883228620946</v>
      </c>
      <c r="E17" s="36">
        <v>8.413014553358181</v>
      </c>
      <c r="F17" s="36">
        <v>6.9792550720349649</v>
      </c>
      <c r="G17" s="36">
        <v>4.2369404127625696</v>
      </c>
      <c r="H17" s="36">
        <v>3.4705761807813573</v>
      </c>
      <c r="I17" s="11">
        <v>9.5221799999999988</v>
      </c>
      <c r="J17" s="11"/>
      <c r="K17" s="38">
        <v>98.28</v>
      </c>
      <c r="L17" s="38">
        <v>87.54</v>
      </c>
      <c r="M17" s="38">
        <v>122.16</v>
      </c>
      <c r="N17" s="38">
        <v>107.56399999999999</v>
      </c>
      <c r="O17" s="38">
        <v>69.185000000000002</v>
      </c>
      <c r="P17" s="38">
        <v>59.783000000000001</v>
      </c>
      <c r="Q17" s="11">
        <v>172.482</v>
      </c>
      <c r="R17" s="11"/>
    </row>
    <row r="18" spans="2:18" ht="15" customHeight="1" x14ac:dyDescent="0.25">
      <c r="B18" s="10" t="s">
        <v>8</v>
      </c>
      <c r="C18" s="36">
        <v>38.372362040772003</v>
      </c>
      <c r="D18" s="36">
        <v>36.07743651742674</v>
      </c>
      <c r="E18" s="36">
        <v>30.4192871251126</v>
      </c>
      <c r="F18" s="36">
        <v>34.150620686791299</v>
      </c>
      <c r="G18" s="36">
        <v>38.407128421826201</v>
      </c>
      <c r="H18" s="36">
        <v>41.217148592768815</v>
      </c>
      <c r="I18" s="11">
        <v>26.063570000000002</v>
      </c>
      <c r="J18" s="11"/>
      <c r="K18" s="38">
        <v>487.62599999999998</v>
      </c>
      <c r="L18" s="38">
        <v>491.48399999999998</v>
      </c>
      <c r="M18" s="38">
        <v>441.69900000000001</v>
      </c>
      <c r="N18" s="38">
        <v>526.32799999999997</v>
      </c>
      <c r="O18" s="38">
        <v>627.15</v>
      </c>
      <c r="P18" s="38">
        <v>709.99300000000005</v>
      </c>
      <c r="Q18" s="11">
        <v>472.108</v>
      </c>
      <c r="R18" s="11"/>
    </row>
    <row r="19" spans="2:18" ht="15" customHeight="1" x14ac:dyDescent="0.25">
      <c r="B19" s="10" t="s">
        <v>9</v>
      </c>
      <c r="C19" s="36">
        <v>4.9583954345934051</v>
      </c>
      <c r="D19" s="36">
        <v>4.7385199915143694</v>
      </c>
      <c r="E19" s="36">
        <v>6.1893782247823053</v>
      </c>
      <c r="F19" s="36">
        <v>6.2509246066042214</v>
      </c>
      <c r="G19" s="36">
        <v>4.3116541123155123</v>
      </c>
      <c r="H19" s="36">
        <v>4.0900586160073891</v>
      </c>
      <c r="I19" s="11">
        <v>7.4169200000000002</v>
      </c>
      <c r="J19" s="11"/>
      <c r="K19" s="38">
        <v>63.01</v>
      </c>
      <c r="L19" s="38">
        <v>64.552999999999997</v>
      </c>
      <c r="M19" s="38">
        <v>89.872</v>
      </c>
      <c r="N19" s="38">
        <v>96.338999999999999</v>
      </c>
      <c r="O19" s="38">
        <v>70.405000000000001</v>
      </c>
      <c r="P19" s="38">
        <v>70.453999999999994</v>
      </c>
      <c r="Q19" s="11">
        <v>134.34800000000001</v>
      </c>
      <c r="R19" s="11"/>
    </row>
    <row r="20" spans="2:18" ht="15" customHeight="1" x14ac:dyDescent="0.25">
      <c r="B20" s="10" t="s">
        <v>10</v>
      </c>
      <c r="C20" s="36">
        <v>22.978672840331953</v>
      </c>
      <c r="D20" s="36">
        <v>24.557238734701457</v>
      </c>
      <c r="E20" s="36">
        <v>24.598012721447677</v>
      </c>
      <c r="F20" s="36">
        <v>23.716256725296457</v>
      </c>
      <c r="G20" s="36">
        <v>28.434380549941825</v>
      </c>
      <c r="H20" s="36">
        <v>27.127362825364703</v>
      </c>
      <c r="I20" s="11">
        <v>21.684069999999998</v>
      </c>
      <c r="J20" s="11"/>
      <c r="K20" s="38">
        <v>292.00700000000001</v>
      </c>
      <c r="L20" s="38">
        <v>334.54399999999998</v>
      </c>
      <c r="M20" s="38">
        <v>357.17200000000003</v>
      </c>
      <c r="N20" s="38">
        <v>365.51400000000001</v>
      </c>
      <c r="O20" s="38">
        <v>464.30500000000001</v>
      </c>
      <c r="P20" s="38">
        <v>467.28699999999998</v>
      </c>
      <c r="Q20" s="11">
        <v>392.779</v>
      </c>
      <c r="R20" s="11"/>
    </row>
    <row r="21" spans="2:18" x14ac:dyDescent="0.25">
      <c r="B21" s="12" t="s">
        <v>11</v>
      </c>
      <c r="C21" s="36"/>
      <c r="D21" s="36"/>
      <c r="E21" s="36"/>
      <c r="F21" s="36"/>
      <c r="G21" s="36"/>
      <c r="H21" s="36"/>
      <c r="I21" s="11"/>
      <c r="J21" s="11"/>
      <c r="K21" s="38"/>
      <c r="L21" s="38"/>
      <c r="M21" s="38"/>
      <c r="N21" s="38"/>
      <c r="O21" s="38"/>
      <c r="P21" s="38"/>
      <c r="R21" s="11"/>
    </row>
    <row r="22" spans="2:18" x14ac:dyDescent="0.25">
      <c r="B22" s="13" t="s">
        <v>12</v>
      </c>
      <c r="C22" s="36">
        <v>72.062931725074648</v>
      </c>
      <c r="D22" s="36">
        <v>70.704241273784177</v>
      </c>
      <c r="E22" s="36">
        <v>69.212609053770009</v>
      </c>
      <c r="F22" s="36">
        <v>70.03281866809931</v>
      </c>
      <c r="G22" s="36">
        <v>67.25396533774267</v>
      </c>
      <c r="H22" s="36">
        <v>68.782578558627904</v>
      </c>
      <c r="I22" s="11">
        <v>70.899000000000001</v>
      </c>
      <c r="J22" s="11"/>
      <c r="K22" s="38">
        <v>915.75699999999995</v>
      </c>
      <c r="L22" s="38">
        <v>963.20600000000002</v>
      </c>
      <c r="M22" s="38">
        <v>1004.992</v>
      </c>
      <c r="N22" s="38">
        <v>1079.3430000000001</v>
      </c>
      <c r="O22" s="38">
        <v>1098.19</v>
      </c>
      <c r="P22" s="38">
        <v>1184.826</v>
      </c>
      <c r="Q22" s="11">
        <v>1284.2439999999999</v>
      </c>
      <c r="R22" s="11"/>
    </row>
    <row r="23" spans="2:18" x14ac:dyDescent="0.25">
      <c r="B23" s="13" t="s">
        <v>13</v>
      </c>
      <c r="C23" s="36">
        <v>26.45844186299059</v>
      </c>
      <c r="D23" s="36">
        <v>23.332547898668651</v>
      </c>
      <c r="E23" s="36">
        <v>21.837337366291194</v>
      </c>
      <c r="F23" s="36">
        <v>20.839075626980605</v>
      </c>
      <c r="G23" s="36">
        <v>18.348765999142628</v>
      </c>
      <c r="H23" s="36">
        <v>20.881568031896585</v>
      </c>
      <c r="I23" s="11">
        <v>23.866070000000001</v>
      </c>
      <c r="J23" s="11"/>
      <c r="K23" s="38">
        <v>336.22699999999998</v>
      </c>
      <c r="L23" s="38">
        <v>317.86</v>
      </c>
      <c r="M23" s="38">
        <v>317.08600000000001</v>
      </c>
      <c r="N23" s="38">
        <v>321.17099999999999</v>
      </c>
      <c r="O23" s="38">
        <v>299.61700000000002</v>
      </c>
      <c r="P23" s="38">
        <v>359.69900000000001</v>
      </c>
      <c r="Q23" s="11">
        <v>432.303</v>
      </c>
      <c r="R23" s="11"/>
    </row>
    <row r="24" spans="2:18" ht="25.5" customHeight="1" x14ac:dyDescent="0.25">
      <c r="B24" s="14" t="s">
        <v>14</v>
      </c>
      <c r="C24" s="36"/>
      <c r="D24" s="36"/>
      <c r="E24" s="36"/>
      <c r="F24" s="36"/>
      <c r="G24" s="36"/>
      <c r="H24" s="36"/>
      <c r="I24" s="11"/>
      <c r="J24" s="11"/>
      <c r="K24" s="38"/>
      <c r="L24" s="38"/>
      <c r="M24" s="38"/>
      <c r="N24" s="38"/>
      <c r="O24" s="38"/>
      <c r="P24" s="38"/>
      <c r="R24" s="11"/>
    </row>
    <row r="25" spans="2:18" x14ac:dyDescent="0.25">
      <c r="B25" s="15" t="s">
        <v>15</v>
      </c>
      <c r="C25" s="36">
        <v>18.669251967698429</v>
      </c>
      <c r="D25" s="36">
        <v>18.349221869143648</v>
      </c>
      <c r="E25" s="36">
        <v>17.627111173552169</v>
      </c>
      <c r="F25" s="36">
        <v>15.147651564109951</v>
      </c>
      <c r="G25" s="36">
        <v>14.996693000183722</v>
      </c>
      <c r="H25" s="36">
        <v>15.039008642334375</v>
      </c>
      <c r="I25" s="11">
        <v>14.826120000000001</v>
      </c>
      <c r="J25" s="11"/>
      <c r="K25" s="38">
        <v>237.244</v>
      </c>
      <c r="L25" s="38">
        <v>249.97200000000001</v>
      </c>
      <c r="M25" s="38">
        <v>255.952</v>
      </c>
      <c r="N25" s="38">
        <v>233.45500000000001</v>
      </c>
      <c r="O25" s="38">
        <v>244.881</v>
      </c>
      <c r="P25" s="38">
        <v>259.05700000000002</v>
      </c>
      <c r="Q25" s="11">
        <v>268.55599999999998</v>
      </c>
      <c r="R25" s="11"/>
    </row>
    <row r="26" spans="2:18" x14ac:dyDescent="0.25">
      <c r="B26" s="13" t="s">
        <v>16</v>
      </c>
      <c r="C26" s="36">
        <v>34.574755227916214</v>
      </c>
      <c r="D26" s="36">
        <v>24.31617635724211</v>
      </c>
      <c r="E26" s="36">
        <v>21.247613695528212</v>
      </c>
      <c r="F26" s="36">
        <v>18.46423167462153</v>
      </c>
      <c r="G26" s="36">
        <v>17.626798946659317</v>
      </c>
      <c r="H26" s="36">
        <v>15.635502131412016</v>
      </c>
      <c r="I26" s="11">
        <v>24.81888</v>
      </c>
      <c r="J26" s="11"/>
      <c r="K26" s="38">
        <v>439.36700000000002</v>
      </c>
      <c r="L26" s="38">
        <v>331.26</v>
      </c>
      <c r="M26" s="38">
        <v>308.52300000000002</v>
      </c>
      <c r="N26" s="38">
        <v>284.57</v>
      </c>
      <c r="O26" s="38">
        <v>287.82799999999997</v>
      </c>
      <c r="P26" s="38">
        <v>269.33199999999999</v>
      </c>
      <c r="Q26" s="11">
        <v>449.56200000000001</v>
      </c>
      <c r="R26" s="11"/>
    </row>
    <row r="27" spans="2:18" x14ac:dyDescent="0.25">
      <c r="B27" s="13" t="s">
        <v>17</v>
      </c>
      <c r="C27" s="36">
        <v>58.436590613279783</v>
      </c>
      <c r="D27" s="36">
        <v>53.766893268237681</v>
      </c>
      <c r="E27" s="36">
        <v>54.882936786691239</v>
      </c>
      <c r="F27" s="36">
        <v>51.487091842958321</v>
      </c>
      <c r="G27" s="36">
        <v>48.987813093269644</v>
      </c>
      <c r="H27" s="36">
        <v>51.7370296772201</v>
      </c>
      <c r="I27" s="11">
        <v>52.704390000000004</v>
      </c>
      <c r="J27" s="11"/>
      <c r="K27" s="38">
        <v>742.59699999999998</v>
      </c>
      <c r="L27" s="38">
        <v>732.46799999999996</v>
      </c>
      <c r="M27" s="38">
        <v>796.92</v>
      </c>
      <c r="N27" s="38">
        <v>793.51700000000005</v>
      </c>
      <c r="O27" s="38">
        <v>799.92200000000003</v>
      </c>
      <c r="P27" s="38">
        <v>891.20500000000004</v>
      </c>
      <c r="Q27" s="11">
        <v>954.67200000000003</v>
      </c>
      <c r="R27" s="11"/>
    </row>
    <row r="28" spans="2:18" x14ac:dyDescent="0.25">
      <c r="B28" s="13" t="s">
        <v>18</v>
      </c>
      <c r="C28" s="36">
        <v>25.759261678315738</v>
      </c>
      <c r="D28" s="36">
        <v>21.681226570006821</v>
      </c>
      <c r="E28" s="36">
        <v>19.650132641339471</v>
      </c>
      <c r="F28" s="36">
        <v>18.422965021969951</v>
      </c>
      <c r="G28" s="36">
        <v>16.987690611794967</v>
      </c>
      <c r="H28" s="36">
        <v>20.987224299548291</v>
      </c>
      <c r="I28" s="11">
        <v>14.190910000000001</v>
      </c>
      <c r="J28" s="11"/>
      <c r="K28" s="38">
        <v>327.34199999999998</v>
      </c>
      <c r="L28" s="38">
        <v>295.36399999999998</v>
      </c>
      <c r="M28" s="38">
        <v>285.327</v>
      </c>
      <c r="N28" s="38">
        <v>283.93400000000003</v>
      </c>
      <c r="O28" s="38">
        <v>277.392</v>
      </c>
      <c r="P28" s="38">
        <v>361.51900000000001</v>
      </c>
      <c r="Q28" s="11">
        <v>257.05</v>
      </c>
      <c r="R28" s="11"/>
    </row>
    <row r="29" spans="2:18" x14ac:dyDescent="0.25">
      <c r="B29" s="13" t="s">
        <v>19</v>
      </c>
      <c r="C29" s="36">
        <v>12.933062842015969</v>
      </c>
      <c r="D29" s="36">
        <v>15.234863316017069</v>
      </c>
      <c r="E29" s="36">
        <v>14.535934370773177</v>
      </c>
      <c r="F29" s="36">
        <v>18.062595542682438</v>
      </c>
      <c r="G29" s="36">
        <v>19.504317471982365</v>
      </c>
      <c r="H29" s="36">
        <v>21.778311090366877</v>
      </c>
      <c r="I29" s="11">
        <v>21.367570000000001</v>
      </c>
      <c r="J29" s="11"/>
      <c r="K29" s="38">
        <v>164.35</v>
      </c>
      <c r="L29" s="38">
        <v>207.54499999999999</v>
      </c>
      <c r="M29" s="38">
        <v>211.06700000000001</v>
      </c>
      <c r="N29" s="38">
        <v>278.38</v>
      </c>
      <c r="O29" s="38">
        <v>318.48599999999999</v>
      </c>
      <c r="P29" s="38">
        <v>375.14600000000002</v>
      </c>
      <c r="Q29" s="11">
        <v>387.04599999999999</v>
      </c>
      <c r="R29" s="11"/>
    </row>
    <row r="30" spans="2:18" x14ac:dyDescent="0.25">
      <c r="B30" s="13" t="s">
        <v>20</v>
      </c>
      <c r="C30" s="36">
        <v>14.755180700895675</v>
      </c>
      <c r="D30" s="36">
        <v>21.807556762335544</v>
      </c>
      <c r="E30" s="36">
        <v>18.62061271208152</v>
      </c>
      <c r="F30" s="36">
        <v>23.241560450455363</v>
      </c>
      <c r="G30" s="36">
        <v>16.394329107722459</v>
      </c>
      <c r="H30" s="36">
        <v>17.921741215290901</v>
      </c>
      <c r="I30" s="11">
        <v>27.251069999999999</v>
      </c>
      <c r="J30" s="11"/>
      <c r="K30" s="38">
        <v>187.505</v>
      </c>
      <c r="L30" s="38">
        <v>297.08499999999998</v>
      </c>
      <c r="M30" s="38">
        <v>270.37799999999999</v>
      </c>
      <c r="N30" s="38">
        <v>358.19799999999998</v>
      </c>
      <c r="O30" s="38">
        <v>267.70299999999997</v>
      </c>
      <c r="P30" s="38">
        <v>308.714</v>
      </c>
      <c r="Q30" s="11">
        <v>493.61799999999999</v>
      </c>
      <c r="R30" s="11"/>
    </row>
    <row r="31" spans="2:18" x14ac:dyDescent="0.25">
      <c r="B31" s="7" t="s">
        <v>21</v>
      </c>
      <c r="C31" s="36"/>
      <c r="D31" s="36"/>
      <c r="E31" s="36"/>
      <c r="F31" s="36"/>
      <c r="G31" s="36"/>
      <c r="H31" s="36"/>
      <c r="I31" s="11"/>
      <c r="J31" s="11"/>
      <c r="K31" s="38"/>
      <c r="L31" s="38"/>
      <c r="M31" s="38"/>
      <c r="N31" s="38"/>
      <c r="O31" s="38"/>
      <c r="P31" s="38"/>
      <c r="R31" s="11"/>
    </row>
    <row r="32" spans="2:18" ht="15" customHeight="1" x14ac:dyDescent="0.25">
      <c r="B32" s="15" t="s">
        <v>22</v>
      </c>
      <c r="C32" s="36">
        <v>13.091076776830498</v>
      </c>
      <c r="D32" s="36">
        <v>12.054219949600052</v>
      </c>
      <c r="E32" s="36">
        <v>16.562054935277086</v>
      </c>
      <c r="F32" s="36">
        <v>14.30155541540466</v>
      </c>
      <c r="G32" s="36">
        <v>9.2582521893563605</v>
      </c>
      <c r="H32" s="36">
        <v>6.9470157038884413</v>
      </c>
      <c r="I32" s="11">
        <v>22.407340000000001</v>
      </c>
      <c r="J32" s="11"/>
      <c r="K32" s="38">
        <v>166.358</v>
      </c>
      <c r="L32" s="38">
        <v>164.215</v>
      </c>
      <c r="M32" s="38">
        <v>240.48699999999999</v>
      </c>
      <c r="N32" s="38">
        <v>220.41499999999999</v>
      </c>
      <c r="O32" s="38">
        <v>151.178</v>
      </c>
      <c r="P32" s="38">
        <v>119.667</v>
      </c>
      <c r="Q32" s="11">
        <v>405.88</v>
      </c>
      <c r="R32" s="11"/>
    </row>
    <row r="33" spans="1:18" ht="15" customHeight="1" thickBot="1" x14ac:dyDescent="0.3">
      <c r="A33" s="17"/>
      <c r="B33" s="35" t="s">
        <v>23</v>
      </c>
      <c r="C33" s="37">
        <v>38.648965118896044</v>
      </c>
      <c r="D33" s="37">
        <v>39.365324747871803</v>
      </c>
      <c r="E33" s="37">
        <v>44.982700153439723</v>
      </c>
      <c r="F33" s="37">
        <v>42.133122587912247</v>
      </c>
      <c r="G33" s="37">
        <v>33.158491028231978</v>
      </c>
      <c r="H33" s="37">
        <v>31.655488581866482</v>
      </c>
      <c r="I33" s="37">
        <v>52.25235</v>
      </c>
      <c r="J33" s="18"/>
      <c r="K33" s="39">
        <v>491.14100000000002</v>
      </c>
      <c r="L33" s="39">
        <v>536.27499999999998</v>
      </c>
      <c r="M33" s="39">
        <v>653.16499999999996</v>
      </c>
      <c r="N33" s="39">
        <v>649.35400000000004</v>
      </c>
      <c r="O33" s="39">
        <v>541.44500000000005</v>
      </c>
      <c r="P33" s="39">
        <v>545.28700000000003</v>
      </c>
      <c r="Q33" s="39">
        <v>946.48400000000004</v>
      </c>
      <c r="R33" s="18"/>
    </row>
    <row r="34" spans="1:18" ht="15.75" thickTop="1" x14ac:dyDescent="0.25">
      <c r="B34" s="19" t="s">
        <v>47</v>
      </c>
    </row>
    <row r="35" spans="1:18" x14ac:dyDescent="0.25">
      <c r="B35" s="19" t="s">
        <v>35</v>
      </c>
    </row>
    <row r="36" spans="1:18" x14ac:dyDescent="0.25">
      <c r="B36" s="27"/>
      <c r="C36" s="27"/>
      <c r="D36" s="29"/>
      <c r="E36" s="29"/>
    </row>
    <row r="37" spans="1:18" x14ac:dyDescent="0.25">
      <c r="B37" s="27"/>
      <c r="C37" s="28"/>
      <c r="D37" s="29"/>
      <c r="E37" s="29"/>
    </row>
    <row r="38" spans="1:18" x14ac:dyDescent="0.25">
      <c r="B38" s="80"/>
      <c r="C38" s="80"/>
      <c r="D38" s="80"/>
      <c r="E38" s="80"/>
    </row>
    <row r="39" spans="1:18" x14ac:dyDescent="0.25">
      <c r="B39" s="80"/>
      <c r="C39" s="80"/>
      <c r="D39" s="80"/>
      <c r="E39" s="80"/>
    </row>
    <row r="42" spans="1:18" x14ac:dyDescent="0.25">
      <c r="F42" s="46"/>
    </row>
    <row r="43" spans="1:18" x14ac:dyDescent="0.25">
      <c r="F43" s="46"/>
    </row>
    <row r="44" spans="1:18" x14ac:dyDescent="0.25">
      <c r="F44" s="46"/>
    </row>
    <row r="45" spans="1:18" x14ac:dyDescent="0.25">
      <c r="F45" s="46"/>
    </row>
    <row r="46" spans="1:18" x14ac:dyDescent="0.25">
      <c r="F46" s="46"/>
    </row>
    <row r="47" spans="1:18" x14ac:dyDescent="0.25">
      <c r="F47" s="46"/>
    </row>
  </sheetData>
  <mergeCells count="9">
    <mergeCell ref="B38:E38"/>
    <mergeCell ref="B39:E39"/>
    <mergeCell ref="B11:B13"/>
    <mergeCell ref="C11:R11"/>
    <mergeCell ref="B4:R4"/>
    <mergeCell ref="B9:R9"/>
    <mergeCell ref="B10:R10"/>
    <mergeCell ref="C12:I12"/>
    <mergeCell ref="K12:Q12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CB159-9D94-4C73-B0D8-6EBE43D627C0}">
  <dimension ref="A4:R46"/>
  <sheetViews>
    <sheetView workbookViewId="0">
      <selection activeCell="L3" sqref="L3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10.5703125" style="2" customWidth="1"/>
    <col min="17" max="17" width="9.5703125" style="2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customHeight="1" x14ac:dyDescent="0.25">
      <c r="A9" s="1"/>
      <c r="B9" s="70" t="s">
        <v>72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36">
        <v>50.935156398259721</v>
      </c>
      <c r="D15" s="36">
        <v>52.400585386892963</v>
      </c>
      <c r="E15" s="36">
        <v>50.53263839884945</v>
      </c>
      <c r="F15" s="36">
        <v>49.101433852871835</v>
      </c>
      <c r="G15" s="36">
        <v>45.520657275478101</v>
      </c>
      <c r="H15" s="36">
        <v>43.399114714559886</v>
      </c>
      <c r="I15" s="11">
        <v>44.63785</v>
      </c>
      <c r="J15" s="11"/>
      <c r="K15" s="38">
        <v>1304.43</v>
      </c>
      <c r="L15" s="38">
        <v>1375.3</v>
      </c>
      <c r="M15" s="38">
        <v>1354.16</v>
      </c>
      <c r="N15" s="38">
        <v>1338.1</v>
      </c>
      <c r="O15" s="38">
        <v>1267.7280000000001</v>
      </c>
      <c r="P15" s="38">
        <v>1229</v>
      </c>
      <c r="Q15" s="11">
        <v>1283.307</v>
      </c>
      <c r="R15" s="11"/>
    </row>
    <row r="16" spans="1:18" ht="15" customHeight="1" x14ac:dyDescent="0.25">
      <c r="B16" s="10" t="s">
        <v>6</v>
      </c>
      <c r="C16" s="36">
        <v>35.520206859765977</v>
      </c>
      <c r="D16" s="36">
        <v>37.062069527838453</v>
      </c>
      <c r="E16" s="36">
        <v>37.735061887704667</v>
      </c>
      <c r="F16" s="36">
        <v>39.61683194657224</v>
      </c>
      <c r="G16" s="36">
        <v>37.843322916633007</v>
      </c>
      <c r="H16" s="36">
        <v>36.069043083067456</v>
      </c>
      <c r="I16" s="11">
        <v>35.140129999999999</v>
      </c>
      <c r="J16" s="11"/>
      <c r="K16" s="38">
        <v>909.65899999999999</v>
      </c>
      <c r="L16" s="38">
        <v>972.72699999999998</v>
      </c>
      <c r="M16" s="38">
        <v>1011.2140000000001</v>
      </c>
      <c r="N16" s="38">
        <v>1079.6279999999999</v>
      </c>
      <c r="O16" s="38">
        <v>1053.9179999999999</v>
      </c>
      <c r="P16" s="38">
        <v>1021.423</v>
      </c>
      <c r="Q16" s="11">
        <v>1010.254</v>
      </c>
      <c r="R16" s="11"/>
    </row>
    <row r="17" spans="2:18" ht="15" customHeight="1" x14ac:dyDescent="0.25">
      <c r="B17" s="10" t="s">
        <v>7</v>
      </c>
      <c r="C17" s="36">
        <v>15.414949538493739</v>
      </c>
      <c r="D17" s="36">
        <v>15.338515859054503</v>
      </c>
      <c r="E17" s="36">
        <v>12.797576511144786</v>
      </c>
      <c r="F17" s="36">
        <v>9.4846019062995968</v>
      </c>
      <c r="G17" s="36">
        <v>7.6773343588450933</v>
      </c>
      <c r="H17" s="36">
        <v>7.330071631492431</v>
      </c>
      <c r="I17" s="11">
        <v>9.4977300000000007</v>
      </c>
      <c r="J17" s="11"/>
      <c r="K17" s="38">
        <v>394.77100000000002</v>
      </c>
      <c r="L17" s="38">
        <v>402.57299999999998</v>
      </c>
      <c r="M17" s="38">
        <v>342.94600000000003</v>
      </c>
      <c r="N17" s="38">
        <v>258.47199999999998</v>
      </c>
      <c r="O17" s="38">
        <v>213.81</v>
      </c>
      <c r="P17" s="38">
        <v>207.577</v>
      </c>
      <c r="Q17" s="11">
        <v>273.053</v>
      </c>
      <c r="R17" s="11"/>
    </row>
    <row r="18" spans="2:18" ht="15" customHeight="1" x14ac:dyDescent="0.25">
      <c r="B18" s="10" t="s">
        <v>8</v>
      </c>
      <c r="C18" s="36">
        <v>25.356526180396273</v>
      </c>
      <c r="D18" s="36">
        <v>20.937449634971419</v>
      </c>
      <c r="E18" s="36">
        <v>24.65514802932935</v>
      </c>
      <c r="F18" s="36">
        <v>24.303430054950599</v>
      </c>
      <c r="G18" s="36">
        <v>24.631133545976212</v>
      </c>
      <c r="H18" s="36">
        <v>27.713248030001537</v>
      </c>
      <c r="I18" s="11">
        <v>25.589840000000002</v>
      </c>
      <c r="J18" s="11"/>
      <c r="K18" s="38">
        <v>649.37099999999998</v>
      </c>
      <c r="L18" s="38">
        <v>549.52200000000005</v>
      </c>
      <c r="M18" s="38">
        <v>660.702</v>
      </c>
      <c r="N18" s="38">
        <v>662.31100000000004</v>
      </c>
      <c r="O18" s="38">
        <v>685.96500000000003</v>
      </c>
      <c r="P18" s="38">
        <v>784.79899999999998</v>
      </c>
      <c r="Q18" s="11">
        <v>735.69</v>
      </c>
      <c r="R18" s="11"/>
    </row>
    <row r="19" spans="2:18" ht="15" customHeight="1" x14ac:dyDescent="0.25">
      <c r="B19" s="10" t="s">
        <v>9</v>
      </c>
      <c r="C19" s="36">
        <v>6.3986501947315118</v>
      </c>
      <c r="D19" s="36">
        <v>7.205928242479108</v>
      </c>
      <c r="E19" s="36">
        <v>6.560891538201183</v>
      </c>
      <c r="F19" s="36">
        <v>7.6392525250671977</v>
      </c>
      <c r="G19" s="36">
        <v>7.9589551126752323</v>
      </c>
      <c r="H19" s="36">
        <v>7.3753069984162325</v>
      </c>
      <c r="I19" s="11">
        <v>8.4100800000000007</v>
      </c>
      <c r="J19" s="11"/>
      <c r="K19" s="38">
        <v>163.86699999999999</v>
      </c>
      <c r="L19" s="38">
        <v>189.126</v>
      </c>
      <c r="M19" s="38">
        <v>175.81700000000001</v>
      </c>
      <c r="N19" s="38">
        <v>208.18299999999999</v>
      </c>
      <c r="O19" s="38">
        <v>221.65299999999999</v>
      </c>
      <c r="P19" s="38">
        <v>208.858</v>
      </c>
      <c r="Q19" s="11">
        <v>241.78399999999999</v>
      </c>
      <c r="R19" s="11"/>
    </row>
    <row r="20" spans="2:18" ht="15" customHeight="1" x14ac:dyDescent="0.25">
      <c r="B20" s="10" t="s">
        <v>10</v>
      </c>
      <c r="C20" s="36">
        <v>17.3096672266125</v>
      </c>
      <c r="D20" s="36">
        <v>19.456036735656514</v>
      </c>
      <c r="E20" s="36">
        <v>18.251322033620013</v>
      </c>
      <c r="F20" s="36">
        <v>18.955883567110369</v>
      </c>
      <c r="G20" s="36">
        <v>21.88925406587046</v>
      </c>
      <c r="H20" s="36">
        <v>21.512330257022342</v>
      </c>
      <c r="I20" s="11">
        <v>21.362220000000001</v>
      </c>
      <c r="J20" s="11"/>
      <c r="K20" s="38">
        <v>443.29399999999998</v>
      </c>
      <c r="L20" s="38">
        <v>510.64100000000002</v>
      </c>
      <c r="M20" s="38">
        <v>489.09399999999999</v>
      </c>
      <c r="N20" s="38">
        <v>516.58100000000002</v>
      </c>
      <c r="O20" s="38">
        <v>609.60500000000002</v>
      </c>
      <c r="P20" s="38">
        <v>609.19799999999998</v>
      </c>
      <c r="Q20" s="11">
        <v>614.149</v>
      </c>
      <c r="R20" s="11"/>
    </row>
    <row r="21" spans="2:18" x14ac:dyDescent="0.25">
      <c r="B21" s="12" t="s">
        <v>11</v>
      </c>
      <c r="C21" s="36"/>
      <c r="D21" s="36"/>
      <c r="E21" s="36"/>
      <c r="F21" s="36"/>
      <c r="G21" s="36"/>
      <c r="H21" s="36"/>
      <c r="I21" s="11"/>
      <c r="J21" s="11"/>
      <c r="K21" s="38"/>
      <c r="L21" s="38"/>
      <c r="M21" s="38"/>
      <c r="N21" s="38"/>
      <c r="O21" s="38"/>
      <c r="P21" s="38"/>
      <c r="R21" s="11"/>
    </row>
    <row r="22" spans="2:18" x14ac:dyDescent="0.25">
      <c r="B22" s="13" t="s">
        <v>12</v>
      </c>
      <c r="C22" s="36">
        <v>76.291682578655994</v>
      </c>
      <c r="D22" s="36">
        <v>73.338035021864385</v>
      </c>
      <c r="E22" s="36">
        <v>75.187786428178811</v>
      </c>
      <c r="F22" s="36">
        <v>73.404863907822431</v>
      </c>
      <c r="G22" s="36">
        <v>70.151790821454313</v>
      </c>
      <c r="H22" s="36">
        <v>71.112362744561437</v>
      </c>
      <c r="I22" s="11">
        <v>70.227689999999996</v>
      </c>
      <c r="J22" s="11"/>
      <c r="K22" s="38">
        <v>1953.8009999999999</v>
      </c>
      <c r="L22" s="38">
        <v>1924.8219999999999</v>
      </c>
      <c r="M22" s="38">
        <v>2014.8620000000001</v>
      </c>
      <c r="N22" s="38">
        <v>2000.4110000000001</v>
      </c>
      <c r="O22" s="38">
        <v>1953.693</v>
      </c>
      <c r="P22" s="38">
        <v>2013.799</v>
      </c>
      <c r="Q22" s="11">
        <v>2018.9970000000001</v>
      </c>
      <c r="R22" s="11"/>
    </row>
    <row r="23" spans="2:18" x14ac:dyDescent="0.25">
      <c r="B23" s="13" t="s">
        <v>13</v>
      </c>
      <c r="C23" s="36">
        <v>35.856564837744564</v>
      </c>
      <c r="D23" s="36">
        <v>30.627881165393894</v>
      </c>
      <c r="E23" s="36">
        <v>26.898360420826688</v>
      </c>
      <c r="F23" s="36">
        <v>20.506316108139842</v>
      </c>
      <c r="G23" s="36">
        <v>17.654816907012009</v>
      </c>
      <c r="H23" s="36">
        <v>15.963105455611251</v>
      </c>
      <c r="I23" s="11">
        <v>19.81053</v>
      </c>
      <c r="J23" s="11"/>
      <c r="K23" s="38">
        <v>918.27300000000002</v>
      </c>
      <c r="L23" s="38">
        <v>803.85599999999999</v>
      </c>
      <c r="M23" s="38">
        <v>720.81500000000005</v>
      </c>
      <c r="N23" s="38">
        <v>558.83299999999997</v>
      </c>
      <c r="O23" s="38">
        <v>491.678</v>
      </c>
      <c r="P23" s="38">
        <v>452.05200000000002</v>
      </c>
      <c r="Q23" s="11">
        <v>569.53899999999999</v>
      </c>
      <c r="R23" s="11"/>
    </row>
    <row r="24" spans="2:18" ht="25.5" customHeight="1" x14ac:dyDescent="0.25">
      <c r="B24" s="14" t="s">
        <v>14</v>
      </c>
      <c r="C24" s="36"/>
      <c r="D24" s="36"/>
      <c r="E24" s="36"/>
      <c r="F24" s="36"/>
      <c r="G24" s="36"/>
      <c r="H24" s="36"/>
      <c r="I24" s="11"/>
      <c r="J24" s="11"/>
      <c r="K24" s="38"/>
      <c r="L24" s="38"/>
      <c r="M24" s="38"/>
      <c r="N24" s="38"/>
      <c r="O24" s="38"/>
      <c r="P24" s="38"/>
      <c r="R24" s="11"/>
    </row>
    <row r="25" spans="2:18" x14ac:dyDescent="0.25">
      <c r="B25" s="15" t="s">
        <v>15</v>
      </c>
      <c r="C25" s="36">
        <v>22.994640295326523</v>
      </c>
      <c r="D25" s="36">
        <v>22.212582617697478</v>
      </c>
      <c r="E25" s="36">
        <v>21.220416803960635</v>
      </c>
      <c r="F25" s="36">
        <v>18.443035768345155</v>
      </c>
      <c r="G25" s="36">
        <v>17.475280534558777</v>
      </c>
      <c r="H25" s="36">
        <v>16.93186974615579</v>
      </c>
      <c r="I25" s="11">
        <v>15.863550000000002</v>
      </c>
      <c r="J25" s="11"/>
      <c r="K25" s="38">
        <v>588.88400000000001</v>
      </c>
      <c r="L25" s="38">
        <v>582.98900000000003</v>
      </c>
      <c r="M25" s="38">
        <v>568.65899999999999</v>
      </c>
      <c r="N25" s="38">
        <v>502.60500000000002</v>
      </c>
      <c r="O25" s="38">
        <v>486.678</v>
      </c>
      <c r="P25" s="38">
        <v>479.48599999999999</v>
      </c>
      <c r="Q25" s="11">
        <v>456.06599999999997</v>
      </c>
      <c r="R25" s="11"/>
    </row>
    <row r="26" spans="2:18" x14ac:dyDescent="0.25">
      <c r="B26" s="13" t="s">
        <v>16</v>
      </c>
      <c r="C26" s="36">
        <v>34.359744502261258</v>
      </c>
      <c r="D26" s="36">
        <v>19.030065278792222</v>
      </c>
      <c r="E26" s="36">
        <v>14.031337728979281</v>
      </c>
      <c r="F26" s="36">
        <v>10.712633133651968</v>
      </c>
      <c r="G26" s="36">
        <v>9.0898547227581385</v>
      </c>
      <c r="H26" s="36">
        <v>8.9569910888799029</v>
      </c>
      <c r="I26" s="11">
        <v>19.76521</v>
      </c>
      <c r="J26" s="11"/>
      <c r="K26" s="38">
        <v>879.94</v>
      </c>
      <c r="L26" s="38">
        <v>499.46100000000001</v>
      </c>
      <c r="M26" s="38">
        <v>376.00799999999998</v>
      </c>
      <c r="N26" s="38">
        <v>291.93799999999999</v>
      </c>
      <c r="O26" s="38">
        <v>253.148</v>
      </c>
      <c r="P26" s="38">
        <v>253.649</v>
      </c>
      <c r="Q26" s="11">
        <v>568.23599999999999</v>
      </c>
      <c r="R26" s="11"/>
    </row>
    <row r="27" spans="2:18" x14ac:dyDescent="0.25">
      <c r="B27" s="13" t="s">
        <v>17</v>
      </c>
      <c r="C27" s="36">
        <v>64.405992748037661</v>
      </c>
      <c r="D27" s="36">
        <v>57.299904861294472</v>
      </c>
      <c r="E27" s="36">
        <v>61.581260800821561</v>
      </c>
      <c r="F27" s="36">
        <v>59.115176089608923</v>
      </c>
      <c r="G27" s="36">
        <v>55.636705995904414</v>
      </c>
      <c r="H27" s="36">
        <v>55.518061482667726</v>
      </c>
      <c r="I27" s="11">
        <v>54.168870000000005</v>
      </c>
      <c r="J27" s="11"/>
      <c r="K27" s="38">
        <v>1649.413</v>
      </c>
      <c r="L27" s="38">
        <v>1503.8869999999999</v>
      </c>
      <c r="M27" s="38">
        <v>1650.2380000000001</v>
      </c>
      <c r="N27" s="38">
        <v>1610.992</v>
      </c>
      <c r="O27" s="38">
        <v>1549.4549999999999</v>
      </c>
      <c r="P27" s="38">
        <v>1572.191</v>
      </c>
      <c r="Q27" s="11">
        <v>1557.317</v>
      </c>
      <c r="R27" s="11"/>
    </row>
    <row r="28" spans="2:18" x14ac:dyDescent="0.25">
      <c r="B28" s="13" t="s">
        <v>18</v>
      </c>
      <c r="C28" s="36">
        <v>22.56136561182868</v>
      </c>
      <c r="D28" s="36">
        <v>16.32270805067003</v>
      </c>
      <c r="E28" s="36">
        <v>13.480171641403954</v>
      </c>
      <c r="F28" s="36">
        <v>11.001311842358747</v>
      </c>
      <c r="G28" s="36">
        <v>9.6972262707674215</v>
      </c>
      <c r="H28" s="36">
        <v>8.5738853154557706</v>
      </c>
      <c r="I28" s="11">
        <v>9.3254800000000007</v>
      </c>
      <c r="J28" s="11"/>
      <c r="K28" s="38">
        <v>577.78800000000001</v>
      </c>
      <c r="L28" s="38">
        <v>428.404</v>
      </c>
      <c r="M28" s="38">
        <v>361.238</v>
      </c>
      <c r="N28" s="38">
        <v>299.80500000000001</v>
      </c>
      <c r="O28" s="38">
        <v>270.06299999999999</v>
      </c>
      <c r="P28" s="38">
        <v>242.8</v>
      </c>
      <c r="Q28" s="11">
        <v>268.101</v>
      </c>
      <c r="R28" s="11"/>
    </row>
    <row r="29" spans="2:18" x14ac:dyDescent="0.25">
      <c r="B29" s="13" t="s">
        <v>19</v>
      </c>
      <c r="C29" s="36">
        <v>29.139206282639101</v>
      </c>
      <c r="D29" s="36">
        <v>32.299457172151527</v>
      </c>
      <c r="E29" s="36">
        <v>32.49316266713636</v>
      </c>
      <c r="F29" s="36">
        <v>28.143366939737813</v>
      </c>
      <c r="G29" s="36">
        <v>24.726718710670315</v>
      </c>
      <c r="H29" s="36">
        <v>26.407284271263887</v>
      </c>
      <c r="I29" s="11">
        <v>25.009619999999998</v>
      </c>
      <c r="J29" s="11"/>
      <c r="K29" s="38">
        <v>746.24400000000003</v>
      </c>
      <c r="L29" s="38">
        <v>847.72799999999995</v>
      </c>
      <c r="M29" s="38">
        <v>870.74300000000005</v>
      </c>
      <c r="N29" s="38">
        <v>766.95600000000002</v>
      </c>
      <c r="O29" s="38">
        <v>688.62699999999995</v>
      </c>
      <c r="P29" s="38">
        <v>747.81600000000003</v>
      </c>
      <c r="Q29" s="11">
        <v>719.00900000000001</v>
      </c>
      <c r="R29" s="11"/>
    </row>
    <row r="30" spans="2:18" x14ac:dyDescent="0.25">
      <c r="B30" s="13" t="s">
        <v>20</v>
      </c>
      <c r="C30" s="36">
        <v>23.361728912806985</v>
      </c>
      <c r="D30" s="36">
        <v>30.088901538488503</v>
      </c>
      <c r="E30" s="36">
        <v>24.698248694945431</v>
      </c>
      <c r="F30" s="36">
        <v>21.647857477042759</v>
      </c>
      <c r="G30" s="36">
        <v>20.105632020096582</v>
      </c>
      <c r="H30" s="36">
        <v>16.951750707575069</v>
      </c>
      <c r="I30" s="11">
        <v>17.775460000000002</v>
      </c>
      <c r="J30" s="11"/>
      <c r="K30" s="38">
        <v>598.28499999999997</v>
      </c>
      <c r="L30" s="38">
        <v>789.71</v>
      </c>
      <c r="M30" s="38">
        <v>661.85699999999997</v>
      </c>
      <c r="N30" s="38">
        <v>589.94200000000001</v>
      </c>
      <c r="O30" s="38">
        <v>559.93200000000002</v>
      </c>
      <c r="P30" s="38">
        <v>480.04899999999998</v>
      </c>
      <c r="Q30" s="11">
        <v>511.03199999999998</v>
      </c>
      <c r="R30" s="11"/>
    </row>
    <row r="31" spans="2:18" x14ac:dyDescent="0.25">
      <c r="B31" s="7" t="s">
        <v>21</v>
      </c>
      <c r="C31" s="36"/>
      <c r="D31" s="36"/>
      <c r="E31" s="36"/>
      <c r="F31" s="36"/>
      <c r="G31" s="36"/>
      <c r="H31" s="36"/>
      <c r="I31" s="11"/>
      <c r="J31" s="11"/>
      <c r="K31" s="38"/>
      <c r="L31" s="38"/>
      <c r="M31" s="38"/>
      <c r="N31" s="38"/>
      <c r="O31" s="38"/>
      <c r="P31" s="38"/>
      <c r="R31" s="11"/>
    </row>
    <row r="32" spans="2:18" ht="15" customHeight="1" x14ac:dyDescent="0.25">
      <c r="B32" s="15" t="s">
        <v>22</v>
      </c>
      <c r="C32" s="36">
        <v>22.17928262894959</v>
      </c>
      <c r="D32" s="36">
        <v>25.983039630204956</v>
      </c>
      <c r="E32" s="36">
        <v>23.259768644582955</v>
      </c>
      <c r="F32" s="36">
        <v>23.217224581907583</v>
      </c>
      <c r="G32" s="36">
        <v>20.417558513596827</v>
      </c>
      <c r="H32" s="36">
        <v>19.026327266049993</v>
      </c>
      <c r="I32" s="11">
        <v>22.95701</v>
      </c>
      <c r="J32" s="11"/>
      <c r="K32" s="38">
        <v>568.00300000000004</v>
      </c>
      <c r="L32" s="38">
        <v>681.94799999999998</v>
      </c>
      <c r="M32" s="38">
        <v>623.30899999999997</v>
      </c>
      <c r="N32" s="38">
        <v>632.71</v>
      </c>
      <c r="O32" s="38">
        <v>568.61900000000003</v>
      </c>
      <c r="P32" s="38">
        <v>538.798</v>
      </c>
      <c r="Q32" s="38">
        <v>659.99800000000005</v>
      </c>
      <c r="R32" s="11"/>
    </row>
    <row r="33" spans="1:18" ht="15" customHeight="1" thickBot="1" x14ac:dyDescent="0.3">
      <c r="A33" s="17"/>
      <c r="B33" s="35" t="s">
        <v>23</v>
      </c>
      <c r="C33" s="37">
        <v>57.33380659299123</v>
      </c>
      <c r="D33" s="37">
        <v>59.606513629372074</v>
      </c>
      <c r="E33" s="37">
        <v>57.093529937050633</v>
      </c>
      <c r="F33" s="37">
        <v>56.740686377939028</v>
      </c>
      <c r="G33" s="37">
        <v>53.479612388153328</v>
      </c>
      <c r="H33" s="37">
        <v>50.774421712976128</v>
      </c>
      <c r="I33" s="37">
        <v>53.047940000000004</v>
      </c>
      <c r="J33" s="18"/>
      <c r="K33" s="39">
        <v>1468.297</v>
      </c>
      <c r="L33" s="39">
        <v>1564.4259999999999</v>
      </c>
      <c r="M33" s="39">
        <v>1529.9770000000001</v>
      </c>
      <c r="N33" s="39">
        <v>1546.2829999999999</v>
      </c>
      <c r="O33" s="39">
        <v>1489.3810000000001</v>
      </c>
      <c r="P33" s="39">
        <v>1437.8579999999999</v>
      </c>
      <c r="Q33" s="39">
        <v>1525.0909999999999</v>
      </c>
      <c r="R33" s="18"/>
    </row>
    <row r="34" spans="1:18" ht="15.75" thickTop="1" x14ac:dyDescent="0.25">
      <c r="B34" s="19" t="s">
        <v>47</v>
      </c>
    </row>
    <row r="35" spans="1:18" x14ac:dyDescent="0.25">
      <c r="B35" s="19" t="s">
        <v>35</v>
      </c>
    </row>
    <row r="36" spans="1:18" x14ac:dyDescent="0.25">
      <c r="B36" s="27"/>
      <c r="C36" s="27"/>
      <c r="D36" s="29"/>
      <c r="E36" s="29"/>
    </row>
    <row r="37" spans="1:18" x14ac:dyDescent="0.25">
      <c r="B37" s="27"/>
      <c r="C37" s="28"/>
      <c r="D37" s="29"/>
      <c r="E37" s="29"/>
    </row>
    <row r="38" spans="1:18" x14ac:dyDescent="0.25">
      <c r="B38" s="80"/>
      <c r="C38" s="80"/>
      <c r="D38" s="80"/>
      <c r="E38" s="80"/>
    </row>
    <row r="39" spans="1:18" x14ac:dyDescent="0.25">
      <c r="B39" s="80"/>
      <c r="C39" s="80"/>
      <c r="D39" s="80"/>
      <c r="E39" s="80"/>
    </row>
    <row r="41" spans="1:18" x14ac:dyDescent="0.25">
      <c r="E41" s="46"/>
    </row>
    <row r="42" spans="1:18" x14ac:dyDescent="0.25">
      <c r="E42" s="46"/>
    </row>
    <row r="43" spans="1:18" x14ac:dyDescent="0.25">
      <c r="E43" s="46"/>
    </row>
    <row r="44" spans="1:18" x14ac:dyDescent="0.25">
      <c r="E44" s="46"/>
    </row>
    <row r="45" spans="1:18" x14ac:dyDescent="0.25">
      <c r="E45" s="46"/>
    </row>
    <row r="46" spans="1:18" x14ac:dyDescent="0.25">
      <c r="E46" s="46"/>
    </row>
  </sheetData>
  <mergeCells count="9">
    <mergeCell ref="B38:E38"/>
    <mergeCell ref="B39:E39"/>
    <mergeCell ref="B11:B13"/>
    <mergeCell ref="C11:R11"/>
    <mergeCell ref="B4:R4"/>
    <mergeCell ref="B9:R9"/>
    <mergeCell ref="B10:R10"/>
    <mergeCell ref="C12:I12"/>
    <mergeCell ref="K12:Q12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CCD43-153C-441E-B986-90E4BEDC99FA}">
  <dimension ref="A4:R39"/>
  <sheetViews>
    <sheetView tabSelected="1" zoomScaleNormal="100" workbookViewId="0">
      <selection activeCell="M2" sqref="M2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10.5703125" style="2" customWidth="1"/>
    <col min="17" max="17" width="13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customHeight="1" x14ac:dyDescent="0.25">
      <c r="A9" s="1"/>
      <c r="B9" s="70" t="s">
        <v>64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2">
        <v>2008</v>
      </c>
      <c r="D13" s="22">
        <v>2010</v>
      </c>
      <c r="E13" s="22">
        <v>2012</v>
      </c>
      <c r="F13" s="22">
        <v>2014</v>
      </c>
      <c r="G13" s="22">
        <v>2016</v>
      </c>
      <c r="H13" s="22">
        <v>2018</v>
      </c>
      <c r="I13" s="22">
        <v>2020</v>
      </c>
      <c r="J13" s="56"/>
      <c r="K13" s="22">
        <v>2008</v>
      </c>
      <c r="L13" s="22">
        <v>2010</v>
      </c>
      <c r="M13" s="22">
        <v>2012</v>
      </c>
      <c r="N13" s="22">
        <v>2014</v>
      </c>
      <c r="O13" s="22">
        <v>2016</v>
      </c>
      <c r="P13" s="22">
        <v>2018</v>
      </c>
      <c r="Q13" s="22">
        <v>2020</v>
      </c>
      <c r="R13" s="6"/>
    </row>
    <row r="14" spans="1:18" ht="15" customHeight="1" x14ac:dyDescent="0.25">
      <c r="B14" s="7" t="s">
        <v>4</v>
      </c>
      <c r="C14" s="54"/>
      <c r="D14" s="54"/>
      <c r="E14" s="54"/>
      <c r="F14" s="54"/>
      <c r="G14" s="54"/>
      <c r="H14" s="54"/>
      <c r="I14" s="54"/>
      <c r="J14" s="55"/>
      <c r="K14" s="54"/>
      <c r="L14" s="54"/>
      <c r="M14" s="54"/>
      <c r="N14" s="54"/>
      <c r="O14" s="54"/>
      <c r="P14" s="54"/>
      <c r="Q14" s="54"/>
      <c r="R14" s="9"/>
    </row>
    <row r="15" spans="1:18" ht="15" customHeight="1" x14ac:dyDescent="0.25">
      <c r="B15" s="10" t="s">
        <v>5</v>
      </c>
      <c r="C15" s="93">
        <v>32.393549040178819</v>
      </c>
      <c r="D15" s="93">
        <v>36.668698293608209</v>
      </c>
      <c r="E15" s="93">
        <v>36.26036720089698</v>
      </c>
      <c r="F15" s="93">
        <v>39.36940991054508</v>
      </c>
      <c r="G15" s="93">
        <v>30.80663701814666</v>
      </c>
      <c r="H15" s="93">
        <v>30.878422822042111</v>
      </c>
      <c r="I15" s="90">
        <f>0.282539*100</f>
        <v>28.253899999999998</v>
      </c>
      <c r="J15" s="52"/>
      <c r="K15" s="84">
        <v>905.61900000000003</v>
      </c>
      <c r="L15" s="84">
        <v>1048.643</v>
      </c>
      <c r="M15" s="84">
        <v>1055.577</v>
      </c>
      <c r="N15" s="84">
        <v>1167.066</v>
      </c>
      <c r="O15" s="84">
        <v>929.68299999999999</v>
      </c>
      <c r="P15" s="84">
        <v>946.86800000000005</v>
      </c>
      <c r="Q15" s="90">
        <f>879248/1000</f>
        <v>879.24800000000005</v>
      </c>
      <c r="R15" s="11"/>
    </row>
    <row r="16" spans="1:18" ht="15" customHeight="1" x14ac:dyDescent="0.25">
      <c r="B16" s="10" t="s">
        <v>6</v>
      </c>
      <c r="C16" s="93">
        <v>27.782036336815736</v>
      </c>
      <c r="D16" s="93">
        <v>31.204076401761395</v>
      </c>
      <c r="E16" s="93">
        <v>31.787115815855426</v>
      </c>
      <c r="F16" s="93">
        <v>34.112052430206738</v>
      </c>
      <c r="G16" s="93">
        <v>27.92095966566384</v>
      </c>
      <c r="H16" s="93">
        <v>28.194364864261118</v>
      </c>
      <c r="I16" s="90">
        <f>0.252518*100</f>
        <v>25.251800000000003</v>
      </c>
      <c r="J16" s="52"/>
      <c r="K16" s="84">
        <v>776.69600000000003</v>
      </c>
      <c r="L16" s="84">
        <v>892.36699999999996</v>
      </c>
      <c r="M16" s="84">
        <v>925.35599999999999</v>
      </c>
      <c r="N16" s="84">
        <v>1011.217</v>
      </c>
      <c r="O16" s="84">
        <v>842.59900000000005</v>
      </c>
      <c r="P16" s="84">
        <v>864.56299999999999</v>
      </c>
      <c r="Q16" s="90">
        <f>785825/1000</f>
        <v>785.82500000000005</v>
      </c>
      <c r="R16" s="11"/>
    </row>
    <row r="17" spans="2:18" ht="15" customHeight="1" x14ac:dyDescent="0.25">
      <c r="B17" s="10" t="s">
        <v>7</v>
      </c>
      <c r="C17" s="93">
        <v>4.6115127033630854</v>
      </c>
      <c r="D17" s="93">
        <v>5.4646218918468117</v>
      </c>
      <c r="E17" s="93">
        <v>4.473251385041551</v>
      </c>
      <c r="F17" s="93">
        <v>5.2573574803383352</v>
      </c>
      <c r="G17" s="93">
        <v>2.8856773524828174</v>
      </c>
      <c r="H17" s="93">
        <v>2.6840579577809964</v>
      </c>
      <c r="I17" s="90">
        <f>0.0300207*100</f>
        <v>3.0020700000000002</v>
      </c>
      <c r="J17" s="52"/>
      <c r="K17" s="84">
        <v>128.923</v>
      </c>
      <c r="L17" s="84">
        <v>156.27600000000001</v>
      </c>
      <c r="M17" s="84">
        <v>130.221</v>
      </c>
      <c r="N17" s="84">
        <v>155.84899999999999</v>
      </c>
      <c r="O17" s="84">
        <v>87.084000000000003</v>
      </c>
      <c r="P17" s="84">
        <v>82.305000000000007</v>
      </c>
      <c r="Q17" s="90">
        <f>93423/1000</f>
        <v>93.423000000000002</v>
      </c>
      <c r="R17" s="11"/>
    </row>
    <row r="18" spans="2:18" ht="15" customHeight="1" x14ac:dyDescent="0.25">
      <c r="B18" s="10" t="s">
        <v>8</v>
      </c>
      <c r="C18" s="93">
        <v>40.915098561099875</v>
      </c>
      <c r="D18" s="93">
        <v>33.335955915443755</v>
      </c>
      <c r="E18" s="93">
        <v>33.540711702501866</v>
      </c>
      <c r="F18" s="93">
        <v>30.368762898908987</v>
      </c>
      <c r="G18" s="93">
        <v>32.845174350462472</v>
      </c>
      <c r="H18" s="93">
        <v>34.538107557332786</v>
      </c>
      <c r="I18" s="90">
        <f>0.344915*100</f>
        <v>34.491500000000002</v>
      </c>
      <c r="J18" s="52"/>
      <c r="K18" s="84">
        <v>1143.854</v>
      </c>
      <c r="L18" s="84">
        <v>953.33399999999995</v>
      </c>
      <c r="M18" s="84">
        <v>976.40499999999997</v>
      </c>
      <c r="N18" s="84">
        <v>900.25099999999998</v>
      </c>
      <c r="O18" s="84">
        <v>991.202</v>
      </c>
      <c r="P18" s="84">
        <v>1059.0899999999999</v>
      </c>
      <c r="Q18" s="90">
        <f>1073359/1000</f>
        <v>1073.3589999999999</v>
      </c>
      <c r="R18" s="11"/>
    </row>
    <row r="19" spans="2:18" ht="15" customHeight="1" x14ac:dyDescent="0.25">
      <c r="B19" s="10" t="s">
        <v>9</v>
      </c>
      <c r="C19" s="93">
        <v>3.4765818798094346</v>
      </c>
      <c r="D19" s="93">
        <v>7.686298616990066</v>
      </c>
      <c r="E19" s="93">
        <v>6.3770308446554989</v>
      </c>
      <c r="F19" s="93">
        <v>6.9011313595542845</v>
      </c>
      <c r="G19" s="93">
        <v>7.4204031346003267</v>
      </c>
      <c r="H19" s="93">
        <v>6.474513270930875</v>
      </c>
      <c r="I19" s="90">
        <f>0.0793196*100</f>
        <v>7.9319600000000001</v>
      </c>
      <c r="J19" s="52"/>
      <c r="K19" s="84">
        <v>97.194000000000003</v>
      </c>
      <c r="L19" s="84">
        <v>219.81100000000001</v>
      </c>
      <c r="M19" s="84">
        <v>185.642</v>
      </c>
      <c r="N19" s="84">
        <v>204.577</v>
      </c>
      <c r="O19" s="84">
        <v>223.93299999999999</v>
      </c>
      <c r="P19" s="84">
        <v>198.53700000000001</v>
      </c>
      <c r="Q19" s="90">
        <f>246839/1000</f>
        <v>246.839</v>
      </c>
      <c r="R19" s="11"/>
    </row>
    <row r="20" spans="2:18" ht="15" customHeight="1" x14ac:dyDescent="0.25">
      <c r="B20" s="10" t="s">
        <v>10</v>
      </c>
      <c r="C20" s="93">
        <v>23.214770518911877</v>
      </c>
      <c r="D20" s="93">
        <v>22.309047173957968</v>
      </c>
      <c r="E20" s="93">
        <v>23.821890251945653</v>
      </c>
      <c r="F20" s="93">
        <v>23.360695830991656</v>
      </c>
      <c r="G20" s="93">
        <v>28.927785496790541</v>
      </c>
      <c r="H20" s="93">
        <v>28.108956349694221</v>
      </c>
      <c r="I20" s="90">
        <f>0.293227*100</f>
        <v>29.322700000000001</v>
      </c>
      <c r="J20" s="52"/>
      <c r="K20" s="84">
        <v>649.01</v>
      </c>
      <c r="L20" s="84">
        <v>637.98900000000003</v>
      </c>
      <c r="M20" s="84">
        <v>693.48</v>
      </c>
      <c r="N20" s="84">
        <v>692.50400000000002</v>
      </c>
      <c r="O20" s="84">
        <v>872.98299999999995</v>
      </c>
      <c r="P20" s="84">
        <v>861.94399999999996</v>
      </c>
      <c r="Q20" s="90">
        <f>912510/1000</f>
        <v>912.51</v>
      </c>
      <c r="R20" s="11"/>
    </row>
    <row r="21" spans="2:18" x14ac:dyDescent="0.25">
      <c r="B21" s="12" t="s">
        <v>11</v>
      </c>
      <c r="C21" s="93"/>
      <c r="D21" s="93"/>
      <c r="E21" s="93"/>
      <c r="F21" s="93"/>
      <c r="G21" s="93"/>
      <c r="H21" s="93"/>
      <c r="I21" s="90"/>
      <c r="J21" s="52"/>
      <c r="K21" s="84"/>
      <c r="L21" s="84"/>
      <c r="M21" s="84"/>
      <c r="N21" s="84"/>
      <c r="O21" s="84"/>
      <c r="P21" s="84"/>
      <c r="Q21" s="90"/>
      <c r="R21" s="11"/>
    </row>
    <row r="22" spans="2:18" x14ac:dyDescent="0.25">
      <c r="B22" s="13" t="s">
        <v>12</v>
      </c>
      <c r="C22" s="93">
        <v>73.308647601278693</v>
      </c>
      <c r="D22" s="93">
        <v>70.004654209051964</v>
      </c>
      <c r="E22" s="93">
        <v>69.801078903398846</v>
      </c>
      <c r="F22" s="93">
        <v>69.738172809454056</v>
      </c>
      <c r="G22" s="93">
        <v>63.651811368609131</v>
      </c>
      <c r="H22" s="93">
        <v>65.416530379374905</v>
      </c>
      <c r="I22" s="90">
        <f>0.627453*100</f>
        <v>62.7453</v>
      </c>
      <c r="J22" s="52"/>
      <c r="K22" s="84">
        <v>2049.473</v>
      </c>
      <c r="L22" s="84">
        <v>2001.9770000000001</v>
      </c>
      <c r="M22" s="84">
        <v>2031.982</v>
      </c>
      <c r="N22" s="84">
        <v>2067.317</v>
      </c>
      <c r="O22" s="84">
        <v>1920.885</v>
      </c>
      <c r="P22" s="84">
        <v>2005.9580000000001</v>
      </c>
      <c r="Q22" s="90">
        <f>1952607/1000</f>
        <v>1952.607</v>
      </c>
      <c r="R22" s="11"/>
    </row>
    <row r="23" spans="2:18" x14ac:dyDescent="0.25">
      <c r="B23" s="13" t="s">
        <v>13</v>
      </c>
      <c r="C23" s="93">
        <v>25.283357126019922</v>
      </c>
      <c r="D23" s="93">
        <v>18.953051234414431</v>
      </c>
      <c r="E23" s="93">
        <v>18.546503319702765</v>
      </c>
      <c r="F23" s="93">
        <v>19.686357904707801</v>
      </c>
      <c r="G23" s="93">
        <v>14.299219862409748</v>
      </c>
      <c r="H23" s="93">
        <v>14.9627629964268</v>
      </c>
      <c r="I23" s="90">
        <f>0.142847*100</f>
        <v>14.284700000000001</v>
      </c>
      <c r="J23" s="52"/>
      <c r="K23" s="84">
        <v>706.84100000000001</v>
      </c>
      <c r="L23" s="84">
        <v>542.01499999999999</v>
      </c>
      <c r="M23" s="84">
        <v>539.90800000000002</v>
      </c>
      <c r="N23" s="84">
        <v>583.58199999999999</v>
      </c>
      <c r="O23" s="84">
        <v>431.52199999999999</v>
      </c>
      <c r="P23" s="84">
        <v>458.82400000000001</v>
      </c>
      <c r="Q23" s="90">
        <f>444534/1000</f>
        <v>444.53399999999999</v>
      </c>
      <c r="R23" s="11"/>
    </row>
    <row r="24" spans="2:18" x14ac:dyDescent="0.25">
      <c r="B24" s="14" t="s">
        <v>14</v>
      </c>
      <c r="C24" s="93"/>
      <c r="D24" s="93"/>
      <c r="E24" s="93"/>
      <c r="F24" s="93"/>
      <c r="G24" s="93"/>
      <c r="H24" s="93"/>
      <c r="I24" s="90"/>
      <c r="J24" s="52"/>
      <c r="K24" s="84"/>
      <c r="L24" s="84"/>
      <c r="M24" s="84"/>
      <c r="N24" s="84"/>
      <c r="O24" s="84"/>
      <c r="P24" s="84"/>
      <c r="Q24" s="90"/>
      <c r="R24" s="11"/>
    </row>
    <row r="25" spans="2:18" x14ac:dyDescent="0.25">
      <c r="B25" s="15" t="s">
        <v>15</v>
      </c>
      <c r="C25" s="93">
        <v>21.247983940920214</v>
      </c>
      <c r="D25" s="93">
        <v>19.343221516922473</v>
      </c>
      <c r="E25" s="93">
        <v>18.413357956294245</v>
      </c>
      <c r="F25" s="93">
        <v>19.097334433500496</v>
      </c>
      <c r="G25" s="93">
        <v>15.829174952225147</v>
      </c>
      <c r="H25" s="93">
        <v>16.524639818369124</v>
      </c>
      <c r="I25" s="90">
        <f>0.150662*100</f>
        <v>15.066199999999998</v>
      </c>
      <c r="J25" s="52"/>
      <c r="K25" s="84">
        <v>594.02499999999998</v>
      </c>
      <c r="L25" s="84">
        <v>553.173</v>
      </c>
      <c r="M25" s="84">
        <v>536.03200000000004</v>
      </c>
      <c r="N25" s="84">
        <v>566.12099999999998</v>
      </c>
      <c r="O25" s="84">
        <v>477.69299999999998</v>
      </c>
      <c r="P25" s="84">
        <v>506.71800000000002</v>
      </c>
      <c r="Q25" s="90">
        <f>468855/1000</f>
        <v>468.85500000000002</v>
      </c>
      <c r="R25" s="11"/>
    </row>
    <row r="26" spans="2:18" x14ac:dyDescent="0.25">
      <c r="B26" s="13" t="s">
        <v>16</v>
      </c>
      <c r="C26" s="93">
        <v>29.202050165308798</v>
      </c>
      <c r="D26" s="93">
        <v>21.351524961561687</v>
      </c>
      <c r="E26" s="93">
        <v>16.568490854328804</v>
      </c>
      <c r="F26" s="93">
        <v>15.195564158388988</v>
      </c>
      <c r="G26" s="93">
        <v>12.20991708863507</v>
      </c>
      <c r="H26" s="93">
        <v>13.160346577903557</v>
      </c>
      <c r="I26" s="90">
        <f>0.195729*100</f>
        <v>19.572899999999997</v>
      </c>
      <c r="J26" s="52"/>
      <c r="K26" s="84">
        <v>816.39499999999998</v>
      </c>
      <c r="L26" s="84">
        <v>610.60599999999999</v>
      </c>
      <c r="M26" s="84">
        <v>482.32600000000002</v>
      </c>
      <c r="N26" s="84">
        <v>450.45699999999999</v>
      </c>
      <c r="O26" s="84">
        <v>368.471</v>
      </c>
      <c r="P26" s="84">
        <v>403.55399999999997</v>
      </c>
      <c r="Q26" s="90">
        <f>609101/1000</f>
        <v>609.101</v>
      </c>
      <c r="R26" s="11"/>
    </row>
    <row r="27" spans="2:18" x14ac:dyDescent="0.25">
      <c r="B27" s="13" t="s">
        <v>17</v>
      </c>
      <c r="C27" s="93">
        <v>58.809762358097871</v>
      </c>
      <c r="D27" s="93">
        <v>53.609879371713255</v>
      </c>
      <c r="E27" s="93">
        <v>52.700556215099148</v>
      </c>
      <c r="F27" s="93">
        <v>49.33460351815107</v>
      </c>
      <c r="G27" s="93">
        <v>44.707951253246989</v>
      </c>
      <c r="H27" s="93">
        <v>45.403642466065683</v>
      </c>
      <c r="I27" s="90">
        <f>0.431795*100</f>
        <v>43.179499999999997</v>
      </c>
      <c r="J27" s="52"/>
      <c r="K27" s="84">
        <v>1644.1310000000001</v>
      </c>
      <c r="L27" s="84">
        <v>1533.123</v>
      </c>
      <c r="M27" s="84">
        <v>1534.1679999999999</v>
      </c>
      <c r="N27" s="84">
        <v>1462.4739999999999</v>
      </c>
      <c r="O27" s="84">
        <v>1349.1969999999999</v>
      </c>
      <c r="P27" s="84">
        <v>1392.2750000000001</v>
      </c>
      <c r="Q27" s="91">
        <f>1343726/1000</f>
        <v>1343.7260000000001</v>
      </c>
      <c r="R27" s="11"/>
    </row>
    <row r="28" spans="2:18" x14ac:dyDescent="0.25">
      <c r="B28" s="13" t="s">
        <v>18</v>
      </c>
      <c r="C28" s="93">
        <v>14.188191268161523</v>
      </c>
      <c r="D28" s="93">
        <v>8.4633871801892244</v>
      </c>
      <c r="E28" s="93">
        <v>10.095997944422459</v>
      </c>
      <c r="F28" s="93">
        <v>10.776488177363499</v>
      </c>
      <c r="G28" s="93">
        <v>11.269563500045232</v>
      </c>
      <c r="H28" s="93">
        <v>8.5026964501821158</v>
      </c>
      <c r="I28" s="90">
        <f>0.069705*100</f>
        <v>6.9705000000000004</v>
      </c>
      <c r="J28" s="52"/>
      <c r="K28" s="84">
        <v>396.65600000000001</v>
      </c>
      <c r="L28" s="84">
        <v>242.03399999999999</v>
      </c>
      <c r="M28" s="84">
        <v>293.90499999999997</v>
      </c>
      <c r="N28" s="84">
        <v>319.45800000000003</v>
      </c>
      <c r="O28" s="84">
        <v>340.09300000000002</v>
      </c>
      <c r="P28" s="84">
        <v>260.73</v>
      </c>
      <c r="Q28" s="90">
        <f>216919/1000</f>
        <v>216.91900000000001</v>
      </c>
      <c r="R28" s="11"/>
    </row>
    <row r="29" spans="2:18" x14ac:dyDescent="0.25">
      <c r="B29" s="13" t="s">
        <v>19</v>
      </c>
      <c r="C29" s="93">
        <v>18.623861054048803</v>
      </c>
      <c r="D29" s="93">
        <v>15.677271339688376</v>
      </c>
      <c r="E29" s="93">
        <v>16.056657542980258</v>
      </c>
      <c r="F29" s="93">
        <v>17.975487771884882</v>
      </c>
      <c r="G29" s="93">
        <v>12.786065085139809</v>
      </c>
      <c r="H29" s="93">
        <v>14.916846544151049</v>
      </c>
      <c r="I29" s="90">
        <f>0.116657*100</f>
        <v>11.665699999999999</v>
      </c>
      <c r="J29" s="52"/>
      <c r="K29" s="84">
        <v>520.66300000000001</v>
      </c>
      <c r="L29" s="84">
        <v>448.33499999999998</v>
      </c>
      <c r="M29" s="84">
        <v>467.42599999999999</v>
      </c>
      <c r="N29" s="84">
        <v>532.86500000000001</v>
      </c>
      <c r="O29" s="84">
        <v>385.858</v>
      </c>
      <c r="P29" s="84">
        <v>457.416</v>
      </c>
      <c r="Q29" s="90">
        <f>363031/1000</f>
        <v>363.03100000000001</v>
      </c>
      <c r="R29" s="11"/>
    </row>
    <row r="30" spans="2:18" x14ac:dyDescent="0.25">
      <c r="B30" s="13" t="s">
        <v>20</v>
      </c>
      <c r="C30" s="93">
        <v>22.747835318600824</v>
      </c>
      <c r="D30" s="93">
        <v>24.519813957521862</v>
      </c>
      <c r="E30" s="93">
        <v>25.866818911313374</v>
      </c>
      <c r="F30" s="93">
        <v>29.636641233734473</v>
      </c>
      <c r="G30" s="93">
        <v>22.73976978601306</v>
      </c>
      <c r="H30" s="93">
        <v>24.523168404784833</v>
      </c>
      <c r="I30" s="90">
        <f>0.219982*100</f>
        <v>21.998200000000001</v>
      </c>
      <c r="J30" s="52"/>
      <c r="K30" s="84">
        <v>635.95600000000002</v>
      </c>
      <c r="L30" s="84">
        <v>701.21199999999999</v>
      </c>
      <c r="M30" s="84">
        <v>753.01</v>
      </c>
      <c r="N30" s="84">
        <v>878.548</v>
      </c>
      <c r="O30" s="84">
        <v>686.24099999999999</v>
      </c>
      <c r="P30" s="84">
        <v>751.98800000000006</v>
      </c>
      <c r="Q30" s="90">
        <f>684574/1000</f>
        <v>684.57399999999996</v>
      </c>
      <c r="R30" s="11"/>
    </row>
    <row r="31" spans="2:18" x14ac:dyDescent="0.25">
      <c r="B31" s="7" t="s">
        <v>21</v>
      </c>
      <c r="C31" s="93"/>
      <c r="D31" s="93"/>
      <c r="E31" s="93"/>
      <c r="F31" s="93"/>
      <c r="G31" s="93"/>
      <c r="H31" s="93"/>
      <c r="I31" s="90"/>
      <c r="J31" s="52"/>
      <c r="K31" s="84"/>
      <c r="L31" s="84"/>
      <c r="M31" s="84"/>
      <c r="N31" s="84"/>
      <c r="O31" s="84"/>
      <c r="P31" s="84"/>
      <c r="Q31" s="90"/>
      <c r="R31" s="11"/>
    </row>
    <row r="32" spans="2:18" ht="15" customHeight="1" x14ac:dyDescent="0.25">
      <c r="B32" s="15" t="s">
        <v>22</v>
      </c>
      <c r="C32" s="93">
        <v>8.1104147582141994</v>
      </c>
      <c r="D32" s="93">
        <v>14.17715437252625</v>
      </c>
      <c r="E32" s="93">
        <v>13.385471628632986</v>
      </c>
      <c r="F32" s="93">
        <v>13.466342913468434</v>
      </c>
      <c r="G32" s="93">
        <v>8.7182355629148507</v>
      </c>
      <c r="H32" s="93">
        <v>7.5018938906007913</v>
      </c>
      <c r="I32" s="90">
        <f>0.0860096*100</f>
        <v>8.6009600000000006</v>
      </c>
      <c r="J32" s="52"/>
      <c r="K32" s="84">
        <v>226.74100000000001</v>
      </c>
      <c r="L32" s="84">
        <v>405.435</v>
      </c>
      <c r="M32" s="84">
        <v>389.66500000000002</v>
      </c>
      <c r="N32" s="84">
        <v>399.19600000000003</v>
      </c>
      <c r="O32" s="84">
        <v>263.09899999999999</v>
      </c>
      <c r="P32" s="84">
        <v>230.041</v>
      </c>
      <c r="Q32" s="90">
        <f>267658/1000</f>
        <v>267.65800000000002</v>
      </c>
      <c r="R32" s="11"/>
    </row>
    <row r="33" spans="1:18" ht="15" customHeight="1" thickBot="1" x14ac:dyDescent="0.3">
      <c r="A33" s="17"/>
      <c r="B33" s="35" t="s">
        <v>23</v>
      </c>
      <c r="C33" s="94">
        <v>35.870130919988256</v>
      </c>
      <c r="D33" s="94">
        <v>44.354996910598274</v>
      </c>
      <c r="E33" s="94">
        <v>42.63739804555248</v>
      </c>
      <c r="F33" s="94">
        <v>46.270541270099358</v>
      </c>
      <c r="G33" s="94">
        <v>38.22704015274698</v>
      </c>
      <c r="H33" s="94">
        <v>37.352936092972989</v>
      </c>
      <c r="I33" s="92">
        <f>0.361858*100</f>
        <v>36.1858</v>
      </c>
      <c r="J33" s="51"/>
      <c r="K33" s="50">
        <v>1002.813</v>
      </c>
      <c r="L33" s="50">
        <v>1268.454</v>
      </c>
      <c r="M33" s="50">
        <v>1241.2190000000001</v>
      </c>
      <c r="N33" s="50">
        <v>1371.643</v>
      </c>
      <c r="O33" s="50">
        <v>1153.616</v>
      </c>
      <c r="P33" s="50">
        <v>1145.405</v>
      </c>
      <c r="Q33" s="92">
        <f>1126087/1000</f>
        <v>1126.087</v>
      </c>
      <c r="R33" s="18"/>
    </row>
    <row r="34" spans="1:18" ht="15.75" thickTop="1" x14ac:dyDescent="0.25">
      <c r="B34" s="19" t="s">
        <v>63</v>
      </c>
    </row>
    <row r="35" spans="1:18" x14ac:dyDescent="0.25">
      <c r="B35" s="19" t="s">
        <v>35</v>
      </c>
    </row>
    <row r="36" spans="1:18" x14ac:dyDescent="0.25">
      <c r="B36" s="27"/>
      <c r="C36" s="27"/>
      <c r="D36" s="95"/>
      <c r="E36" s="95"/>
    </row>
    <row r="37" spans="1:18" x14ac:dyDescent="0.25">
      <c r="B37" s="27"/>
      <c r="C37" s="28"/>
      <c r="D37" s="95"/>
      <c r="E37" s="95"/>
    </row>
    <row r="38" spans="1:18" x14ac:dyDescent="0.25">
      <c r="B38" s="80"/>
      <c r="C38" s="80"/>
      <c r="D38" s="80"/>
      <c r="E38" s="80"/>
    </row>
    <row r="39" spans="1:18" x14ac:dyDescent="0.25">
      <c r="B39" s="80"/>
      <c r="C39" s="80"/>
      <c r="D39" s="80"/>
      <c r="E39" s="80"/>
    </row>
  </sheetData>
  <mergeCells count="9">
    <mergeCell ref="B4:R4"/>
    <mergeCell ref="B9:R9"/>
    <mergeCell ref="B10:R10"/>
    <mergeCell ref="B38:E38"/>
    <mergeCell ref="B39:E39"/>
    <mergeCell ref="C12:I12"/>
    <mergeCell ref="K12:Q12"/>
    <mergeCell ref="B11:B13"/>
    <mergeCell ref="C11:R11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5935B-3A60-4C65-B78E-D075149DFCC7}">
  <dimension ref="A4:R39"/>
  <sheetViews>
    <sheetView workbookViewId="0">
      <selection activeCell="AA24" sqref="AA24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10.5703125" style="2" customWidth="1"/>
    <col min="17" max="17" width="10.4257812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customHeight="1" x14ac:dyDescent="0.25">
      <c r="A9" s="1"/>
      <c r="B9" s="70" t="s">
        <v>65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2">
        <v>2008</v>
      </c>
      <c r="D13" s="22">
        <v>2010</v>
      </c>
      <c r="E13" s="22">
        <v>2012</v>
      </c>
      <c r="F13" s="22">
        <v>2014</v>
      </c>
      <c r="G13" s="22">
        <v>2016</v>
      </c>
      <c r="H13" s="22">
        <v>2018</v>
      </c>
      <c r="I13" s="22">
        <v>2020</v>
      </c>
      <c r="J13" s="56"/>
      <c r="K13" s="22">
        <v>2008</v>
      </c>
      <c r="L13" s="22">
        <v>2010</v>
      </c>
      <c r="M13" s="22">
        <v>2012</v>
      </c>
      <c r="N13" s="22">
        <v>2014</v>
      </c>
      <c r="O13" s="22">
        <v>2016</v>
      </c>
      <c r="P13" s="22">
        <v>2018</v>
      </c>
      <c r="Q13" s="22">
        <v>2020</v>
      </c>
      <c r="R13" s="6"/>
    </row>
    <row r="14" spans="1:18" ht="15" customHeight="1" x14ac:dyDescent="0.25">
      <c r="B14" s="7" t="s">
        <v>4</v>
      </c>
      <c r="C14" s="54"/>
      <c r="D14" s="54"/>
      <c r="E14" s="54"/>
      <c r="F14" s="54"/>
      <c r="G14" s="54"/>
      <c r="H14" s="54"/>
      <c r="I14" s="54"/>
      <c r="J14" s="55"/>
      <c r="K14" s="54"/>
      <c r="L14" s="54"/>
      <c r="M14" s="54"/>
      <c r="N14" s="54"/>
      <c r="O14" s="54"/>
      <c r="P14" s="54"/>
      <c r="Q14" s="54"/>
      <c r="R14" s="9"/>
    </row>
    <row r="15" spans="1:18" ht="15" customHeight="1" x14ac:dyDescent="0.25">
      <c r="B15" s="10" t="s">
        <v>5</v>
      </c>
      <c r="C15" s="93">
        <v>27.11696122095827</v>
      </c>
      <c r="D15" s="93">
        <v>33.148915116226689</v>
      </c>
      <c r="E15" s="93">
        <v>29.119836675475121</v>
      </c>
      <c r="F15" s="93">
        <v>29.35822205316434</v>
      </c>
      <c r="G15" s="93">
        <v>27.863703526953088</v>
      </c>
      <c r="H15" s="93">
        <v>28.185481013323805</v>
      </c>
      <c r="I15" s="93">
        <f>0.311902*100</f>
        <v>31.190200000000001</v>
      </c>
      <c r="J15" s="57"/>
      <c r="K15" s="84">
        <v>716.92499999999995</v>
      </c>
      <c r="L15" s="84">
        <v>905.154</v>
      </c>
      <c r="M15" s="84">
        <v>821.29499999999996</v>
      </c>
      <c r="N15" s="84">
        <v>852.08100000000002</v>
      </c>
      <c r="O15" s="84">
        <v>831.42700000000002</v>
      </c>
      <c r="P15" s="84">
        <v>863.029</v>
      </c>
      <c r="Q15" s="90">
        <f>978303/1000</f>
        <v>978.303</v>
      </c>
      <c r="R15" s="11"/>
    </row>
    <row r="16" spans="1:18" ht="15" customHeight="1" x14ac:dyDescent="0.25">
      <c r="B16" s="10" t="s">
        <v>6</v>
      </c>
      <c r="C16" s="93">
        <v>22.761529223757247</v>
      </c>
      <c r="D16" s="93">
        <v>28.018372727442518</v>
      </c>
      <c r="E16" s="93">
        <v>24.161704894736449</v>
      </c>
      <c r="F16" s="93">
        <v>26.064659816376956</v>
      </c>
      <c r="G16" s="93">
        <v>25.339328605080517</v>
      </c>
      <c r="H16" s="93">
        <v>25.552366243484983</v>
      </c>
      <c r="I16" s="93">
        <f>0.268276*100</f>
        <v>26.8276</v>
      </c>
      <c r="J16" s="57"/>
      <c r="K16" s="84">
        <v>601.77499999999998</v>
      </c>
      <c r="L16" s="84">
        <v>765.06100000000004</v>
      </c>
      <c r="M16" s="84">
        <v>681.45600000000002</v>
      </c>
      <c r="N16" s="84">
        <v>756.49</v>
      </c>
      <c r="O16" s="84">
        <v>756.10199999999998</v>
      </c>
      <c r="P16" s="84">
        <v>782.404</v>
      </c>
      <c r="Q16" s="90">
        <f>841466/1000</f>
        <v>841.46600000000001</v>
      </c>
      <c r="R16" s="11"/>
    </row>
    <row r="17" spans="2:18" ht="15" customHeight="1" x14ac:dyDescent="0.25">
      <c r="B17" s="10" t="s">
        <v>7</v>
      </c>
      <c r="C17" s="93">
        <v>4.3554319972010251</v>
      </c>
      <c r="D17" s="93">
        <v>5.1305423887841695</v>
      </c>
      <c r="E17" s="93">
        <v>4.9581317807386691</v>
      </c>
      <c r="F17" s="93">
        <v>3.2935622367873854</v>
      </c>
      <c r="G17" s="93">
        <v>2.5243749218725653</v>
      </c>
      <c r="H17" s="93">
        <v>2.6331147698388255</v>
      </c>
      <c r="I17" s="93">
        <f>0.0436263*100</f>
        <v>4.3626300000000002</v>
      </c>
      <c r="J17" s="57"/>
      <c r="K17" s="84">
        <v>115.15</v>
      </c>
      <c r="L17" s="84">
        <v>140.09299999999999</v>
      </c>
      <c r="M17" s="84">
        <v>139.839</v>
      </c>
      <c r="N17" s="84">
        <v>95.590999999999994</v>
      </c>
      <c r="O17" s="84">
        <v>75.325000000000003</v>
      </c>
      <c r="P17" s="84">
        <v>80.625</v>
      </c>
      <c r="Q17" s="90">
        <f>136837/1000</f>
        <v>136.83699999999999</v>
      </c>
      <c r="R17" s="11"/>
    </row>
    <row r="18" spans="2:18" ht="15" customHeight="1" x14ac:dyDescent="0.25">
      <c r="B18" s="10" t="s">
        <v>8</v>
      </c>
      <c r="C18" s="93">
        <v>38.651158832373547</v>
      </c>
      <c r="D18" s="93">
        <v>31.604035642388091</v>
      </c>
      <c r="E18" s="93">
        <v>36.557690282609151</v>
      </c>
      <c r="F18" s="93">
        <v>32.063090747905406</v>
      </c>
      <c r="G18" s="93">
        <v>30.923886032641096</v>
      </c>
      <c r="H18" s="93">
        <v>30.087822746388511</v>
      </c>
      <c r="I18" s="93">
        <f>0.277186*100</f>
        <v>27.718599999999999</v>
      </c>
      <c r="J18" s="57"/>
      <c r="K18" s="84">
        <v>1021.869</v>
      </c>
      <c r="L18" s="84">
        <v>862.97</v>
      </c>
      <c r="M18" s="84">
        <v>1031.0719999999999</v>
      </c>
      <c r="N18" s="84">
        <v>930.58600000000001</v>
      </c>
      <c r="O18" s="84">
        <v>922.74</v>
      </c>
      <c r="P18" s="84">
        <v>921.27800000000002</v>
      </c>
      <c r="Q18" s="90">
        <f>869413/1000</f>
        <v>869.41300000000001</v>
      </c>
      <c r="R18" s="11"/>
    </row>
    <row r="19" spans="2:18" ht="15" customHeight="1" x14ac:dyDescent="0.25">
      <c r="B19" s="10" t="s">
        <v>9</v>
      </c>
      <c r="C19" s="93">
        <v>4.2611746238877384</v>
      </c>
      <c r="D19" s="93">
        <v>6.8459357738258948</v>
      </c>
      <c r="E19" s="93">
        <v>4.7160736591338033</v>
      </c>
      <c r="F19" s="93">
        <v>7.2667785067250463</v>
      </c>
      <c r="G19" s="93">
        <v>8.1909054136070587</v>
      </c>
      <c r="H19" s="93">
        <v>8.724239972854015</v>
      </c>
      <c r="I19" s="93">
        <f>0.0974366*100</f>
        <v>9.7436600000000002</v>
      </c>
      <c r="J19" s="57"/>
      <c r="K19" s="84">
        <v>112.658</v>
      </c>
      <c r="L19" s="84">
        <v>186.93299999999999</v>
      </c>
      <c r="M19" s="84">
        <v>133.012</v>
      </c>
      <c r="N19" s="84">
        <v>210.90799999999999</v>
      </c>
      <c r="O19" s="84">
        <v>244.40899999999999</v>
      </c>
      <c r="P19" s="84">
        <v>267.13299999999998</v>
      </c>
      <c r="Q19" s="90">
        <f>305617/1000</f>
        <v>305.61700000000002</v>
      </c>
      <c r="R19" s="11"/>
    </row>
    <row r="20" spans="2:18" ht="15" customHeight="1" x14ac:dyDescent="0.25">
      <c r="B20" s="10" t="s">
        <v>10</v>
      </c>
      <c r="C20" s="93">
        <v>29.970705322780439</v>
      </c>
      <c r="D20" s="93">
        <v>28.401113467559323</v>
      </c>
      <c r="E20" s="93">
        <v>29.606399382781927</v>
      </c>
      <c r="F20" s="93">
        <v>31.311908692205204</v>
      </c>
      <c r="G20" s="93">
        <v>33.021505026798756</v>
      </c>
      <c r="H20" s="93">
        <v>33.002456267433672</v>
      </c>
      <c r="I20" s="93">
        <f>0.313476*100</f>
        <v>31.347599999999996</v>
      </c>
      <c r="J20" s="57"/>
      <c r="K20" s="84">
        <v>792.37300000000005</v>
      </c>
      <c r="L20" s="84">
        <v>775.51199999999994</v>
      </c>
      <c r="M20" s="84">
        <v>835.01800000000003</v>
      </c>
      <c r="N20" s="84">
        <v>908.78399999999999</v>
      </c>
      <c r="O20" s="84">
        <v>985.33100000000002</v>
      </c>
      <c r="P20" s="84">
        <v>1010.523</v>
      </c>
      <c r="Q20" s="90">
        <f>983241/1000</f>
        <v>983.24099999999999</v>
      </c>
      <c r="R20" s="11"/>
    </row>
    <row r="21" spans="2:18" x14ac:dyDescent="0.25">
      <c r="B21" s="12" t="s">
        <v>11</v>
      </c>
      <c r="C21" s="93"/>
      <c r="D21" s="93"/>
      <c r="E21" s="93"/>
      <c r="F21" s="93"/>
      <c r="G21" s="93"/>
      <c r="H21" s="93"/>
      <c r="I21" s="96"/>
      <c r="J21" s="57"/>
      <c r="K21" s="84"/>
      <c r="L21" s="84"/>
      <c r="M21" s="84"/>
      <c r="N21" s="84"/>
      <c r="O21" s="84"/>
      <c r="P21" s="84"/>
      <c r="Q21" s="90"/>
      <c r="R21" s="11"/>
    </row>
    <row r="22" spans="2:18" x14ac:dyDescent="0.25">
      <c r="B22" s="13" t="s">
        <v>12</v>
      </c>
      <c r="C22" s="93">
        <v>65.768120053331828</v>
      </c>
      <c r="D22" s="93">
        <v>64.752950758614787</v>
      </c>
      <c r="E22" s="93">
        <v>65.677526958084258</v>
      </c>
      <c r="F22" s="93">
        <v>61.421312801069746</v>
      </c>
      <c r="G22" s="93">
        <v>58.787589559594181</v>
      </c>
      <c r="H22" s="93">
        <v>58.273303759712313</v>
      </c>
      <c r="I22" s="93">
        <f>0.589087*100</f>
        <v>58.908700000000003</v>
      </c>
      <c r="J22" s="57"/>
      <c r="K22" s="84">
        <v>1738.7940000000001</v>
      </c>
      <c r="L22" s="84">
        <v>1768.124</v>
      </c>
      <c r="M22" s="84">
        <v>1852.367</v>
      </c>
      <c r="N22" s="84">
        <v>1782.6669999999999</v>
      </c>
      <c r="O22" s="84">
        <v>1754.1669999999999</v>
      </c>
      <c r="P22" s="84">
        <v>1784.307</v>
      </c>
      <c r="Q22" s="90">
        <f>1847716/1000</f>
        <v>1847.7159999999999</v>
      </c>
      <c r="R22" s="11"/>
    </row>
    <row r="23" spans="2:18" x14ac:dyDescent="0.25">
      <c r="B23" s="13" t="s">
        <v>13</v>
      </c>
      <c r="C23" s="93">
        <v>18.773595075317012</v>
      </c>
      <c r="D23" s="93">
        <v>18.908220228091654</v>
      </c>
      <c r="E23" s="93">
        <v>16.215270403421929</v>
      </c>
      <c r="F23" s="93">
        <v>12.863226086090659</v>
      </c>
      <c r="G23" s="93">
        <v>11.7204390083203</v>
      </c>
      <c r="H23" s="93">
        <v>12.077611649781529</v>
      </c>
      <c r="I23" s="93">
        <f>0.135726*100</f>
        <v>13.572600000000001</v>
      </c>
      <c r="J23" s="57"/>
      <c r="K23" s="84">
        <v>496.34100000000001</v>
      </c>
      <c r="L23" s="84">
        <v>516.30200000000002</v>
      </c>
      <c r="M23" s="84">
        <v>457.33499999999998</v>
      </c>
      <c r="N23" s="84">
        <v>373.33699999999999</v>
      </c>
      <c r="O23" s="84">
        <v>349.72699999999998</v>
      </c>
      <c r="P23" s="84">
        <v>369.81200000000001</v>
      </c>
      <c r="Q23" s="90">
        <f>425716/1000</f>
        <v>425.71600000000001</v>
      </c>
      <c r="R23" s="11"/>
    </row>
    <row r="24" spans="2:18" x14ac:dyDescent="0.25">
      <c r="B24" s="14" t="s">
        <v>14</v>
      </c>
      <c r="C24" s="93"/>
      <c r="D24" s="93"/>
      <c r="E24" s="93"/>
      <c r="F24" s="93"/>
      <c r="G24" s="93"/>
      <c r="H24" s="93"/>
      <c r="I24" s="96"/>
      <c r="J24" s="57"/>
      <c r="K24" s="84"/>
      <c r="L24" s="84"/>
      <c r="M24" s="84"/>
      <c r="N24" s="84"/>
      <c r="O24" s="84"/>
      <c r="P24" s="84"/>
      <c r="Q24" s="90"/>
      <c r="R24" s="11"/>
    </row>
    <row r="25" spans="2:18" x14ac:dyDescent="0.25">
      <c r="B25" s="15" t="s">
        <v>15</v>
      </c>
      <c r="C25" s="93">
        <v>16.142861195427081</v>
      </c>
      <c r="D25" s="93">
        <v>13.978185499066312</v>
      </c>
      <c r="E25" s="93">
        <v>13.555822105895022</v>
      </c>
      <c r="F25" s="93">
        <v>12.114318042668049</v>
      </c>
      <c r="G25" s="93">
        <v>12.305242757230705</v>
      </c>
      <c r="H25" s="93">
        <v>11.431032968066564</v>
      </c>
      <c r="I25" s="93">
        <f>0.123709*100</f>
        <v>12.370900000000001</v>
      </c>
      <c r="J25" s="57"/>
      <c r="K25" s="84">
        <v>426.78899999999999</v>
      </c>
      <c r="L25" s="84">
        <v>381.68400000000003</v>
      </c>
      <c r="M25" s="84">
        <v>382.32799999999997</v>
      </c>
      <c r="N25" s="84">
        <v>351.601</v>
      </c>
      <c r="O25" s="84">
        <v>367.17700000000002</v>
      </c>
      <c r="P25" s="84">
        <v>350.01400000000001</v>
      </c>
      <c r="Q25" s="90">
        <f>388024/1000</f>
        <v>388.024</v>
      </c>
      <c r="R25" s="11"/>
    </row>
    <row r="26" spans="2:18" x14ac:dyDescent="0.25">
      <c r="B26" s="13" t="s">
        <v>16</v>
      </c>
      <c r="C26" s="93">
        <v>22.638033909203521</v>
      </c>
      <c r="D26" s="93">
        <v>22.704059117348802</v>
      </c>
      <c r="E26" s="93">
        <v>17.084509733913347</v>
      </c>
      <c r="F26" s="93">
        <v>14.41964967118127</v>
      </c>
      <c r="G26" s="93">
        <v>14.68832641231781</v>
      </c>
      <c r="H26" s="93">
        <v>12.633529536444431</v>
      </c>
      <c r="I26" s="93">
        <f>0.200692*100</f>
        <v>20.069200000000002</v>
      </c>
      <c r="J26" s="57"/>
      <c r="K26" s="84">
        <v>598.51</v>
      </c>
      <c r="L26" s="84">
        <v>619.95000000000005</v>
      </c>
      <c r="M26" s="84">
        <v>481.851</v>
      </c>
      <c r="N26" s="84">
        <v>418.51</v>
      </c>
      <c r="O26" s="84">
        <v>438.286</v>
      </c>
      <c r="P26" s="84">
        <v>386.834</v>
      </c>
      <c r="Q26" s="90">
        <f>629486/1000</f>
        <v>629.48599999999999</v>
      </c>
      <c r="R26" s="11"/>
    </row>
    <row r="27" spans="2:18" x14ac:dyDescent="0.25">
      <c r="B27" s="13" t="s">
        <v>17</v>
      </c>
      <c r="C27" s="93">
        <v>48.995829905534592</v>
      </c>
      <c r="D27" s="93">
        <v>46.175137855882788</v>
      </c>
      <c r="E27" s="93">
        <v>46.795043392827324</v>
      </c>
      <c r="F27" s="93">
        <v>41.80258196866756</v>
      </c>
      <c r="G27" s="93">
        <v>41.199574919727731</v>
      </c>
      <c r="H27" s="93">
        <v>40.988803587763798</v>
      </c>
      <c r="I27" s="93">
        <f>0.396049*100</f>
        <v>39.604900000000001</v>
      </c>
      <c r="J27" s="57"/>
      <c r="K27" s="84">
        <v>1295.364</v>
      </c>
      <c r="L27" s="84">
        <v>1260.8440000000001</v>
      </c>
      <c r="M27" s="84">
        <v>1319.806</v>
      </c>
      <c r="N27" s="84">
        <v>1213.261</v>
      </c>
      <c r="O27" s="84">
        <v>1229.357</v>
      </c>
      <c r="P27" s="84">
        <v>1255.0619999999999</v>
      </c>
      <c r="Q27" s="90">
        <f>1242236/1000</f>
        <v>1242.2360000000001</v>
      </c>
      <c r="R27" s="11"/>
    </row>
    <row r="28" spans="2:18" x14ac:dyDescent="0.25">
      <c r="B28" s="13" t="s">
        <v>18</v>
      </c>
      <c r="C28" s="93">
        <v>13.351904910498993</v>
      </c>
      <c r="D28" s="93">
        <v>11.668666860277108</v>
      </c>
      <c r="E28" s="93">
        <v>10.157045267031556</v>
      </c>
      <c r="F28" s="93">
        <v>10.130586877777697</v>
      </c>
      <c r="G28" s="93">
        <v>9.5004301407517069</v>
      </c>
      <c r="H28" s="93">
        <v>8.634820211739985</v>
      </c>
      <c r="I28" s="93">
        <f>0.0857203*100</f>
        <v>8.5720299999999998</v>
      </c>
      <c r="J28" s="57"/>
      <c r="K28" s="84">
        <v>353.00099999999998</v>
      </c>
      <c r="L28" s="84">
        <v>318.62099999999998</v>
      </c>
      <c r="M28" s="84">
        <v>286.46899999999999</v>
      </c>
      <c r="N28" s="84">
        <v>294.02600000000001</v>
      </c>
      <c r="O28" s="84">
        <v>283.48399999999998</v>
      </c>
      <c r="P28" s="84">
        <v>264.39499999999998</v>
      </c>
      <c r="Q28" s="90">
        <f>268868/1000</f>
        <v>268.86799999999999</v>
      </c>
      <c r="R28" s="11"/>
    </row>
    <row r="29" spans="2:18" x14ac:dyDescent="0.25">
      <c r="B29" s="13" t="s">
        <v>19</v>
      </c>
      <c r="C29" s="93">
        <v>12.951046306014961</v>
      </c>
      <c r="D29" s="93">
        <v>15.25176620697005</v>
      </c>
      <c r="E29" s="93">
        <v>12.642546421656242</v>
      </c>
      <c r="F29" s="93">
        <v>8.8688201562935518</v>
      </c>
      <c r="G29" s="93">
        <v>9.721985303161258</v>
      </c>
      <c r="H29" s="93">
        <v>10.722957788843301</v>
      </c>
      <c r="I29" s="93">
        <f>0.101196*100</f>
        <v>10.1196</v>
      </c>
      <c r="J29" s="57"/>
      <c r="K29" s="84">
        <v>342.40300000000002</v>
      </c>
      <c r="L29" s="84">
        <v>416.46</v>
      </c>
      <c r="M29" s="84">
        <v>356.57</v>
      </c>
      <c r="N29" s="84">
        <v>257.40499999999997</v>
      </c>
      <c r="O29" s="84">
        <v>290.09500000000003</v>
      </c>
      <c r="P29" s="84">
        <v>328.33300000000003</v>
      </c>
      <c r="Q29" s="90">
        <f>317409/1000</f>
        <v>317.40899999999999</v>
      </c>
      <c r="R29" s="11"/>
    </row>
    <row r="30" spans="2:18" x14ac:dyDescent="0.25">
      <c r="B30" s="13" t="s">
        <v>20</v>
      </c>
      <c r="C30" s="93">
        <v>21.233780601968739</v>
      </c>
      <c r="D30" s="93">
        <v>25.793195484164656</v>
      </c>
      <c r="E30" s="93">
        <v>26.022790408584324</v>
      </c>
      <c r="F30" s="93">
        <v>24.860466951193839</v>
      </c>
      <c r="G30" s="93">
        <v>20.96496305012187</v>
      </c>
      <c r="H30" s="93">
        <v>21.53220009516771</v>
      </c>
      <c r="I30" s="93">
        <f>0.220954*100</f>
        <v>22.095400000000001</v>
      </c>
      <c r="J30" s="57"/>
      <c r="K30" s="84">
        <v>561.38400000000001</v>
      </c>
      <c r="L30" s="84">
        <v>704.30100000000004</v>
      </c>
      <c r="M30" s="84">
        <v>733.94600000000003</v>
      </c>
      <c r="N30" s="84">
        <v>721.54</v>
      </c>
      <c r="O30" s="84">
        <v>625.57500000000005</v>
      </c>
      <c r="P30" s="84">
        <v>659.30799999999999</v>
      </c>
      <c r="Q30" s="90">
        <f>693039/1000</f>
        <v>693.03899999999999</v>
      </c>
      <c r="R30" s="11"/>
    </row>
    <row r="31" spans="2:18" x14ac:dyDescent="0.25">
      <c r="B31" s="7" t="s">
        <v>21</v>
      </c>
      <c r="C31" s="93"/>
      <c r="D31" s="93"/>
      <c r="E31" s="93"/>
      <c r="F31" s="93"/>
      <c r="G31" s="93"/>
      <c r="H31" s="93"/>
      <c r="I31" s="93"/>
      <c r="J31" s="57"/>
      <c r="K31" s="84"/>
      <c r="L31" s="84"/>
      <c r="M31" s="84"/>
      <c r="N31" s="84"/>
      <c r="O31" s="84"/>
      <c r="P31" s="84"/>
      <c r="Q31" s="90"/>
      <c r="R31" s="11"/>
    </row>
    <row r="32" spans="2:18" ht="15" customHeight="1" x14ac:dyDescent="0.25">
      <c r="B32" s="15" t="s">
        <v>22</v>
      </c>
      <c r="C32" s="93">
        <v>7.7862566546575511</v>
      </c>
      <c r="D32" s="93">
        <v>10.862754246459254</v>
      </c>
      <c r="E32" s="93">
        <v>10.154137874916191</v>
      </c>
      <c r="F32" s="93">
        <v>9.6862931153589198</v>
      </c>
      <c r="G32" s="93">
        <v>7.5155492446647969</v>
      </c>
      <c r="H32" s="93">
        <v>8.3642094956731992</v>
      </c>
      <c r="I32" s="93">
        <f>0.122705*100</f>
        <v>12.2705</v>
      </c>
      <c r="J32" s="57"/>
      <c r="K32" s="84">
        <v>205.85499999999999</v>
      </c>
      <c r="L32" s="84">
        <v>296.61500000000001</v>
      </c>
      <c r="M32" s="84">
        <v>286.387</v>
      </c>
      <c r="N32" s="84">
        <v>281.13099999999997</v>
      </c>
      <c r="O32" s="84">
        <v>224.25700000000001</v>
      </c>
      <c r="P32" s="84">
        <v>256.10899999999998</v>
      </c>
      <c r="Q32" s="90">
        <f>384872/1000</f>
        <v>384.87200000000001</v>
      </c>
      <c r="R32" s="11"/>
    </row>
    <row r="33" spans="1:18" ht="15" customHeight="1" thickBot="1" x14ac:dyDescent="0.3">
      <c r="A33" s="17"/>
      <c r="B33" s="35" t="s">
        <v>23</v>
      </c>
      <c r="C33" s="94">
        <v>31.37813584484601</v>
      </c>
      <c r="D33" s="94">
        <v>39.994850890052582</v>
      </c>
      <c r="E33" s="94">
        <v>33.835910334608919</v>
      </c>
      <c r="F33" s="94">
        <v>36.625000559889386</v>
      </c>
      <c r="G33" s="94">
        <v>36.054608940560144</v>
      </c>
      <c r="H33" s="94">
        <v>36.909720986177817</v>
      </c>
      <c r="I33" s="97">
        <f>0.409338*100</f>
        <v>40.933799999999998</v>
      </c>
      <c r="J33" s="57"/>
      <c r="K33" s="50">
        <v>829.58299999999997</v>
      </c>
      <c r="L33" s="50">
        <v>1092.087</v>
      </c>
      <c r="M33" s="50">
        <v>954.30700000000002</v>
      </c>
      <c r="N33" s="50">
        <v>1062.989</v>
      </c>
      <c r="O33" s="50">
        <v>1075.836</v>
      </c>
      <c r="P33" s="50">
        <v>1130.162</v>
      </c>
      <c r="Q33" s="92">
        <f>1283920/1000</f>
        <v>1283.92</v>
      </c>
      <c r="R33" s="18"/>
    </row>
    <row r="34" spans="1:18" ht="15.75" thickTop="1" x14ac:dyDescent="0.25">
      <c r="B34" s="19" t="s">
        <v>63</v>
      </c>
    </row>
    <row r="35" spans="1:18" x14ac:dyDescent="0.25">
      <c r="B35" s="19" t="s">
        <v>35</v>
      </c>
    </row>
    <row r="36" spans="1:18" x14ac:dyDescent="0.25">
      <c r="B36" s="27"/>
      <c r="C36" s="27"/>
      <c r="D36" s="29"/>
      <c r="E36" s="29"/>
    </row>
    <row r="37" spans="1:18" x14ac:dyDescent="0.25">
      <c r="B37" s="27"/>
      <c r="C37" s="28"/>
      <c r="D37" s="29"/>
      <c r="E37" s="29"/>
    </row>
    <row r="38" spans="1:18" x14ac:dyDescent="0.25">
      <c r="B38" s="80"/>
      <c r="C38" s="80"/>
      <c r="D38" s="80"/>
      <c r="E38" s="80"/>
    </row>
    <row r="39" spans="1:18" x14ac:dyDescent="0.25">
      <c r="B39" s="80"/>
      <c r="C39" s="80"/>
      <c r="D39" s="80"/>
      <c r="E39" s="80"/>
    </row>
  </sheetData>
  <mergeCells count="9">
    <mergeCell ref="B4:R4"/>
    <mergeCell ref="B9:R9"/>
    <mergeCell ref="B10:R10"/>
    <mergeCell ref="B38:E38"/>
    <mergeCell ref="B39:E39"/>
    <mergeCell ref="C12:I12"/>
    <mergeCell ref="K12:Q12"/>
    <mergeCell ref="B11:B13"/>
    <mergeCell ref="C11:R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E3CEC-3F77-4BE7-B328-61AEF328CC0D}">
  <dimension ref="A8:AW51"/>
  <sheetViews>
    <sheetView zoomScaleNormal="100" workbookViewId="0">
      <selection activeCell="T22" sqref="T22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9" width="6.85546875" style="2" bestFit="1" customWidth="1"/>
    <col min="10" max="10" width="0.85546875" style="2" customWidth="1"/>
    <col min="11" max="11" width="6.7109375" style="2" bestFit="1" customWidth="1"/>
    <col min="12" max="12" width="6.7109375" style="2" customWidth="1"/>
    <col min="13" max="14" width="6.7109375" style="2" bestFit="1" customWidth="1"/>
    <col min="15" max="16" width="6.7109375" style="2" customWidth="1"/>
    <col min="17" max="17" width="6.7109375" style="2" bestFit="1" customWidth="1"/>
    <col min="18" max="18" width="0.85546875" style="2" customWidth="1"/>
    <col min="19" max="19" width="11.42578125" style="2"/>
    <col min="20" max="20" width="64.7109375" style="2" customWidth="1"/>
    <col min="21" max="27" width="6.85546875" style="2" bestFit="1" customWidth="1"/>
    <col min="28" max="28" width="0.85546875" style="2" customWidth="1"/>
    <col min="29" max="29" width="6.7109375" style="2" bestFit="1" customWidth="1"/>
    <col min="30" max="30" width="6.7109375" style="2" customWidth="1"/>
    <col min="31" max="32" width="6.7109375" style="2" bestFit="1" customWidth="1"/>
    <col min="33" max="34" width="6.7109375" style="2" customWidth="1"/>
    <col min="35" max="35" width="6.7109375" style="2" bestFit="1" customWidth="1"/>
    <col min="36" max="36" width="0.85546875" style="2" customWidth="1"/>
    <col min="37" max="16384" width="11.42578125" style="2"/>
  </cols>
  <sheetData>
    <row r="8" spans="1:36" ht="15.75" customHeight="1" x14ac:dyDescent="0.25">
      <c r="A8" s="1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36" ht="16.5" customHeight="1" x14ac:dyDescent="0.25">
      <c r="A9" s="1"/>
      <c r="B9" s="70" t="s">
        <v>33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T9" s="70" t="s">
        <v>34</v>
      </c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</row>
    <row r="10" spans="1:36" ht="17.25" customHeight="1" thickBot="1" x14ac:dyDescent="0.3">
      <c r="A10" s="3"/>
      <c r="B10" s="71" t="s">
        <v>25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T10" s="71" t="s">
        <v>25</v>
      </c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</row>
    <row r="11" spans="1:36" ht="15.75" customHeight="1" thickTop="1" x14ac:dyDescent="0.25">
      <c r="B11" s="72" t="s">
        <v>0</v>
      </c>
      <c r="C11" s="74" t="s">
        <v>1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T11" s="72" t="s">
        <v>0</v>
      </c>
      <c r="U11" s="74" t="s">
        <v>1</v>
      </c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</row>
    <row r="12" spans="1:36" ht="15" customHeight="1" x14ac:dyDescent="0.25">
      <c r="B12" s="72"/>
      <c r="C12" s="75" t="s">
        <v>2</v>
      </c>
      <c r="D12" s="75"/>
      <c r="E12" s="75"/>
      <c r="F12" s="75"/>
      <c r="G12" s="75"/>
      <c r="H12" s="75"/>
      <c r="I12" s="75"/>
      <c r="J12" s="4"/>
      <c r="K12" s="75" t="s">
        <v>3</v>
      </c>
      <c r="L12" s="75"/>
      <c r="M12" s="75"/>
      <c r="N12" s="75"/>
      <c r="O12" s="75"/>
      <c r="P12" s="75"/>
      <c r="Q12" s="75"/>
      <c r="R12" s="4"/>
      <c r="T12" s="72"/>
      <c r="U12" s="75" t="s">
        <v>2</v>
      </c>
      <c r="V12" s="75"/>
      <c r="W12" s="75"/>
      <c r="X12" s="75"/>
      <c r="Y12" s="75"/>
      <c r="Z12" s="75"/>
      <c r="AA12" s="75"/>
      <c r="AB12" s="4"/>
      <c r="AC12" s="75" t="s">
        <v>3</v>
      </c>
      <c r="AD12" s="75"/>
      <c r="AE12" s="75"/>
      <c r="AF12" s="75"/>
      <c r="AG12" s="75"/>
      <c r="AH12" s="75"/>
      <c r="AI12" s="75"/>
      <c r="AJ12" s="4"/>
    </row>
    <row r="13" spans="1:36" ht="16.5" customHeight="1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  <c r="T13" s="73"/>
      <c r="U13" s="20">
        <v>2008</v>
      </c>
      <c r="V13" s="20">
        <v>2010</v>
      </c>
      <c r="W13" s="20">
        <v>2012</v>
      </c>
      <c r="X13" s="20">
        <v>2014</v>
      </c>
      <c r="Y13" s="20">
        <v>2016</v>
      </c>
      <c r="Z13" s="20">
        <v>2018</v>
      </c>
      <c r="AA13" s="20">
        <v>2020</v>
      </c>
      <c r="AB13" s="21"/>
      <c r="AC13" s="20">
        <v>2008</v>
      </c>
      <c r="AD13" s="20">
        <v>2010</v>
      </c>
      <c r="AE13" s="20">
        <v>2012</v>
      </c>
      <c r="AF13" s="20">
        <v>2014</v>
      </c>
      <c r="AG13" s="20">
        <v>2016</v>
      </c>
      <c r="AH13" s="20">
        <v>2018</v>
      </c>
      <c r="AI13" s="20">
        <v>2020</v>
      </c>
      <c r="AJ13" s="6"/>
    </row>
    <row r="14" spans="1:36" ht="16.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  <c r="T14" s="7" t="s">
        <v>4</v>
      </c>
      <c r="U14" s="8"/>
      <c r="V14" s="8"/>
      <c r="W14" s="8"/>
      <c r="X14" s="8"/>
      <c r="Y14" s="8"/>
      <c r="Z14" s="8"/>
      <c r="AA14" s="8"/>
      <c r="AB14" s="9"/>
      <c r="AC14" s="8"/>
      <c r="AD14" s="8"/>
      <c r="AE14" s="8"/>
      <c r="AF14" s="8"/>
      <c r="AG14" s="8"/>
      <c r="AH14" s="8"/>
      <c r="AI14" s="8"/>
      <c r="AJ14" s="9"/>
    </row>
    <row r="15" spans="1:36" ht="16.5" customHeight="1" x14ac:dyDescent="0.25">
      <c r="B15" s="10" t="s">
        <v>5</v>
      </c>
      <c r="C15" s="11">
        <v>41.411690999999998</v>
      </c>
      <c r="D15" s="11">
        <v>43.334609</v>
      </c>
      <c r="E15" s="11">
        <v>42.983796000000005</v>
      </c>
      <c r="F15" s="11">
        <v>43.622681</v>
      </c>
      <c r="G15" s="11">
        <v>41.029888</v>
      </c>
      <c r="H15" s="11">
        <v>39.409736000000002</v>
      </c>
      <c r="I15" s="11">
        <v>42.169511999999997</v>
      </c>
      <c r="J15" s="11"/>
      <c r="K15" s="11">
        <v>40.814565999999999</v>
      </c>
      <c r="L15" s="11">
        <v>44.020519999999998</v>
      </c>
      <c r="M15" s="11">
        <v>45.024574999999999</v>
      </c>
      <c r="N15" s="11">
        <v>46.659486000000001</v>
      </c>
      <c r="O15" s="11">
        <v>45.083776</v>
      </c>
      <c r="P15" s="11">
        <v>44.343299000000002</v>
      </c>
      <c r="Q15" s="11">
        <v>48.784998000000002</v>
      </c>
      <c r="R15" s="11"/>
      <c r="T15" s="10" t="s">
        <v>5</v>
      </c>
      <c r="U15" s="11">
        <v>75.966003000000001</v>
      </c>
      <c r="V15" s="11">
        <v>79.527827000000002</v>
      </c>
      <c r="W15" s="11">
        <v>76.798752999999991</v>
      </c>
      <c r="X15" s="11">
        <v>78.400553000000002</v>
      </c>
      <c r="Y15" s="11">
        <v>77.633334000000005</v>
      </c>
      <c r="Z15" s="11">
        <v>74.855215000000001</v>
      </c>
      <c r="AA15" s="11">
        <v>76.307888999999989</v>
      </c>
      <c r="AB15" s="11"/>
      <c r="AC15" s="11">
        <v>5.4531770000000002</v>
      </c>
      <c r="AD15" s="11">
        <v>5.4528740000000004</v>
      </c>
      <c r="AE15" s="11">
        <v>5.0800770000000002</v>
      </c>
      <c r="AF15" s="11">
        <v>5.5832930000000003</v>
      </c>
      <c r="AG15" s="11">
        <v>5.3971090000000004</v>
      </c>
      <c r="AH15" s="11">
        <v>5.3002469999999997</v>
      </c>
      <c r="AI15" s="11">
        <v>5.2438560000000001</v>
      </c>
      <c r="AJ15" s="11"/>
    </row>
    <row r="16" spans="1:36" ht="16.5" customHeight="1" x14ac:dyDescent="0.25">
      <c r="B16" s="10" t="s">
        <v>6</v>
      </c>
      <c r="C16" s="11">
        <v>32.670292000000003</v>
      </c>
      <c r="D16" s="11">
        <v>34.406790999999998</v>
      </c>
      <c r="E16" s="11">
        <v>35.065776999999997</v>
      </c>
      <c r="F16" s="11">
        <v>36.192456</v>
      </c>
      <c r="G16" s="11">
        <v>35.218911000000006</v>
      </c>
      <c r="H16" s="11">
        <v>33.848497999999999</v>
      </c>
      <c r="I16" s="11">
        <v>34.850830000000002</v>
      </c>
      <c r="J16" s="11"/>
      <c r="K16" s="11">
        <v>32.199212000000003</v>
      </c>
      <c r="L16" s="11">
        <v>34.951390000000004</v>
      </c>
      <c r="M16" s="11">
        <v>36.730625000000003</v>
      </c>
      <c r="N16" s="11">
        <v>38.712004</v>
      </c>
      <c r="O16" s="11">
        <v>38.698655000000002</v>
      </c>
      <c r="P16" s="11">
        <v>38.08587</v>
      </c>
      <c r="Q16" s="11">
        <v>40.318173000000002</v>
      </c>
      <c r="R16" s="11"/>
      <c r="T16" s="10" t="s">
        <v>6</v>
      </c>
      <c r="U16" s="11">
        <v>35.298108999999997</v>
      </c>
      <c r="V16" s="11">
        <v>34.807769999999998</v>
      </c>
      <c r="W16" s="11">
        <v>38.796009999999995</v>
      </c>
      <c r="X16" s="11">
        <v>38.528908000000001</v>
      </c>
      <c r="Y16" s="11">
        <v>42.810459999999999</v>
      </c>
      <c r="Z16" s="11">
        <v>39.213915999999998</v>
      </c>
      <c r="AA16" s="11">
        <v>40.019275</v>
      </c>
      <c r="AB16" s="11"/>
      <c r="AC16" s="11">
        <v>2.533855</v>
      </c>
      <c r="AD16" s="11">
        <v>2.3866160000000001</v>
      </c>
      <c r="AE16" s="11">
        <v>2.5662750000000001</v>
      </c>
      <c r="AF16" s="11">
        <v>2.7438349999999998</v>
      </c>
      <c r="AG16" s="11">
        <v>2.9762050000000002</v>
      </c>
      <c r="AH16" s="11">
        <v>2.7766060000000001</v>
      </c>
      <c r="AI16" s="11">
        <v>2.7501129999999998</v>
      </c>
      <c r="AJ16" s="11"/>
    </row>
    <row r="17" spans="2:36" ht="16.5" customHeight="1" x14ac:dyDescent="0.25">
      <c r="B17" s="10" t="s">
        <v>7</v>
      </c>
      <c r="C17" s="11">
        <v>8.7413982000000008</v>
      </c>
      <c r="D17" s="11">
        <v>8.9278183000000002</v>
      </c>
      <c r="E17" s="11">
        <v>7.9180193999999995</v>
      </c>
      <c r="F17" s="11">
        <v>7.4302248000000004</v>
      </c>
      <c r="G17" s="11">
        <v>5.8109773000000002</v>
      </c>
      <c r="H17" s="11">
        <v>5.5612376000000001</v>
      </c>
      <c r="I17" s="11">
        <v>7.3186818000000002</v>
      </c>
      <c r="J17" s="11"/>
      <c r="K17" s="11">
        <v>8.615354</v>
      </c>
      <c r="L17" s="11">
        <v>9.0691299999999995</v>
      </c>
      <c r="M17" s="11">
        <v>8.2939500000000006</v>
      </c>
      <c r="N17" s="11">
        <v>7.9474819999999999</v>
      </c>
      <c r="O17" s="11">
        <v>6.3851209999999998</v>
      </c>
      <c r="P17" s="11">
        <v>6.2574290000000001</v>
      </c>
      <c r="Q17" s="11">
        <v>8.466825</v>
      </c>
      <c r="R17" s="11"/>
      <c r="T17" s="10" t="s">
        <v>7</v>
      </c>
      <c r="U17" s="11">
        <v>40.667893999999997</v>
      </c>
      <c r="V17" s="11">
        <v>44.720057000000004</v>
      </c>
      <c r="W17" s="11">
        <v>38.002743000000002</v>
      </c>
      <c r="X17" s="11">
        <v>39.871645000000001</v>
      </c>
      <c r="Y17" s="11">
        <v>34.822874999999996</v>
      </c>
      <c r="Z17" s="11">
        <v>35.641298999999997</v>
      </c>
      <c r="AA17" s="11">
        <v>36.288614000000003</v>
      </c>
      <c r="AB17" s="11"/>
      <c r="AC17" s="11">
        <v>2.9193220000000002</v>
      </c>
      <c r="AD17" s="11">
        <v>3.0662579999999999</v>
      </c>
      <c r="AE17" s="11">
        <v>2.5138020000000001</v>
      </c>
      <c r="AF17" s="11">
        <v>2.839458</v>
      </c>
      <c r="AG17" s="11">
        <v>2.4209040000000002</v>
      </c>
      <c r="AH17" s="11">
        <v>2.523641</v>
      </c>
      <c r="AI17" s="11">
        <v>2.4937429999999998</v>
      </c>
      <c r="AJ17" s="11"/>
    </row>
    <row r="18" spans="2:36" ht="16.5" customHeight="1" x14ac:dyDescent="0.25">
      <c r="B18" s="10" t="s">
        <v>8</v>
      </c>
      <c r="C18" s="11">
        <v>33.253155</v>
      </c>
      <c r="D18" s="11">
        <v>29.300448000000003</v>
      </c>
      <c r="E18" s="11">
        <v>29.589744</v>
      </c>
      <c r="F18" s="11">
        <v>27.229068000000002</v>
      </c>
      <c r="G18" s="11">
        <v>27.751162000000001</v>
      </c>
      <c r="H18" s="11">
        <v>30.302036999999999</v>
      </c>
      <c r="I18" s="11">
        <v>27.148535000000003</v>
      </c>
      <c r="J18" s="11"/>
      <c r="K18" s="11">
        <v>32.773670000000003</v>
      </c>
      <c r="L18" s="11">
        <v>29.764223000000001</v>
      </c>
      <c r="M18" s="11">
        <v>30.994602</v>
      </c>
      <c r="N18" s="11">
        <v>29.124627</v>
      </c>
      <c r="O18" s="11">
        <v>30.493068000000001</v>
      </c>
      <c r="P18" s="11">
        <v>34.095440000000004</v>
      </c>
      <c r="Q18" s="11">
        <v>31.407554000000001</v>
      </c>
      <c r="R18" s="11"/>
      <c r="T18" s="10" t="s">
        <v>8</v>
      </c>
      <c r="U18" s="11">
        <v>19.961525999999999</v>
      </c>
      <c r="V18" s="11">
        <v>16.618258000000001</v>
      </c>
      <c r="W18" s="11">
        <v>18.646953</v>
      </c>
      <c r="X18" s="11">
        <v>17.142098000000001</v>
      </c>
      <c r="Y18" s="11">
        <v>16.435034999999999</v>
      </c>
      <c r="Z18" s="11">
        <v>18.875218999999998</v>
      </c>
      <c r="AA18" s="11">
        <v>18.391085</v>
      </c>
      <c r="AB18" s="11"/>
      <c r="AC18" s="11">
        <v>1.4329270000000001</v>
      </c>
      <c r="AD18" s="11">
        <v>1.1394409999999999</v>
      </c>
      <c r="AE18" s="11">
        <v>1.233457</v>
      </c>
      <c r="AF18" s="11">
        <v>1.220774</v>
      </c>
      <c r="AG18" s="11">
        <v>1.1425719999999999</v>
      </c>
      <c r="AH18" s="11">
        <v>1.3364910000000001</v>
      </c>
      <c r="AI18" s="11">
        <v>1.26383</v>
      </c>
      <c r="AJ18" s="11"/>
    </row>
    <row r="19" spans="2:36" ht="16.5" customHeight="1" x14ac:dyDescent="0.25">
      <c r="B19" s="10" t="s">
        <v>9</v>
      </c>
      <c r="C19" s="11">
        <v>4.9412682999999999</v>
      </c>
      <c r="D19" s="11">
        <v>6.1409367000000001</v>
      </c>
      <c r="E19" s="11">
        <v>6.4174606999999995</v>
      </c>
      <c r="F19" s="11">
        <v>7.3459711999999993</v>
      </c>
      <c r="G19" s="11">
        <v>7.2890926999999994</v>
      </c>
      <c r="H19" s="11">
        <v>7.1504053999999995</v>
      </c>
      <c r="I19" s="11">
        <v>8.0141904999999998</v>
      </c>
      <c r="J19" s="11"/>
      <c r="K19" s="11">
        <v>4.8700190000000001</v>
      </c>
      <c r="L19" s="11">
        <v>6.238137</v>
      </c>
      <c r="M19" s="11">
        <v>6.7221479999999998</v>
      </c>
      <c r="N19" s="11">
        <v>7.8573630000000003</v>
      </c>
      <c r="O19" s="11">
        <v>8.0092789999999994</v>
      </c>
      <c r="P19" s="11">
        <v>8.0455389999999998</v>
      </c>
      <c r="Q19" s="11">
        <v>9.2714440000000007</v>
      </c>
      <c r="R19" s="11"/>
      <c r="T19" s="10" t="s">
        <v>9</v>
      </c>
      <c r="U19" s="11">
        <v>1.0650497999999999</v>
      </c>
      <c r="V19" s="11">
        <v>0.73640414999999992</v>
      </c>
      <c r="W19" s="11">
        <v>1.0935342000000001</v>
      </c>
      <c r="X19" s="11">
        <v>1.2617290999999999</v>
      </c>
      <c r="Y19" s="11">
        <v>1.2164036</v>
      </c>
      <c r="Z19" s="11">
        <v>1.3803788000000001</v>
      </c>
      <c r="AA19" s="11">
        <v>1.3467023999999999</v>
      </c>
      <c r="AB19" s="11"/>
      <c r="AC19" s="11">
        <v>7.6453999999999994E-2</v>
      </c>
      <c r="AD19" s="11">
        <v>5.0492000000000002E-2</v>
      </c>
      <c r="AE19" s="11">
        <v>7.2334999999999997E-2</v>
      </c>
      <c r="AF19" s="11">
        <v>8.9854000000000003E-2</v>
      </c>
      <c r="AG19" s="11">
        <v>8.4565000000000001E-2</v>
      </c>
      <c r="AH19" s="11">
        <v>9.7739999999999994E-2</v>
      </c>
      <c r="AI19" s="11">
        <v>9.2545000000000002E-2</v>
      </c>
      <c r="AJ19" s="11"/>
    </row>
    <row r="20" spans="2:36" ht="16.5" customHeight="1" x14ac:dyDescent="0.25">
      <c r="B20" s="10" t="s">
        <v>10</v>
      </c>
      <c r="C20" s="11">
        <v>20.393885999999998</v>
      </c>
      <c r="D20" s="11">
        <v>21.224005999999999</v>
      </c>
      <c r="E20" s="11">
        <v>21.008998999999999</v>
      </c>
      <c r="F20" s="11">
        <v>21.80228</v>
      </c>
      <c r="G20" s="11">
        <v>23.929856999999998</v>
      </c>
      <c r="H20" s="11">
        <v>23.137822</v>
      </c>
      <c r="I20" s="11">
        <v>22.667763000000001</v>
      </c>
      <c r="J20" s="11"/>
      <c r="K20" s="11">
        <v>20.099822</v>
      </c>
      <c r="L20" s="11">
        <v>21.559944999999999</v>
      </c>
      <c r="M20" s="11">
        <v>22.006461000000002</v>
      </c>
      <c r="N20" s="11">
        <v>23.320052</v>
      </c>
      <c r="O20" s="11">
        <v>26.294205999999999</v>
      </c>
      <c r="P20" s="11">
        <v>26.034362999999999</v>
      </c>
      <c r="Q20" s="11">
        <v>26.223846000000002</v>
      </c>
      <c r="R20" s="11"/>
      <c r="T20" s="10" t="s">
        <v>10</v>
      </c>
      <c r="U20" s="11">
        <v>3.0074204999999998</v>
      </c>
      <c r="V20" s="11">
        <v>3.1175104</v>
      </c>
      <c r="W20" s="11">
        <v>3.4607593999999997</v>
      </c>
      <c r="X20" s="11">
        <v>3.1956202000000005</v>
      </c>
      <c r="Y20" s="11">
        <v>4.7152272000000002</v>
      </c>
      <c r="Z20" s="11">
        <v>4.8891876999999999</v>
      </c>
      <c r="AA20" s="11">
        <v>3.9543240000000002</v>
      </c>
      <c r="AB20" s="11"/>
      <c r="AC20" s="11">
        <v>0.21588599999999999</v>
      </c>
      <c r="AD20" s="11">
        <v>0.213754</v>
      </c>
      <c r="AE20" s="11">
        <v>0.22892199999999999</v>
      </c>
      <c r="AF20" s="11">
        <v>0.227576</v>
      </c>
      <c r="AG20" s="11">
        <v>0.32780500000000001</v>
      </c>
      <c r="AH20" s="11">
        <v>0.34618700000000002</v>
      </c>
      <c r="AI20" s="11">
        <v>0.27173999999999998</v>
      </c>
      <c r="AJ20" s="11"/>
    </row>
    <row r="21" spans="2:36" ht="16.5" customHeight="1" x14ac:dyDescent="0.25">
      <c r="B21" s="12" t="s">
        <v>11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T21" s="12" t="s">
        <v>11</v>
      </c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2:36" ht="16.5" customHeight="1" x14ac:dyDescent="0.25">
      <c r="B22" s="13" t="s">
        <v>12</v>
      </c>
      <c r="C22" s="11">
        <v>74.664845999999997</v>
      </c>
      <c r="D22" s="11">
        <v>72.635057000000003</v>
      </c>
      <c r="E22" s="11">
        <v>72.573540999999992</v>
      </c>
      <c r="F22" s="11">
        <v>70.851748999999998</v>
      </c>
      <c r="G22" s="11">
        <v>68.781049999999993</v>
      </c>
      <c r="H22" s="11">
        <v>69.711772000000011</v>
      </c>
      <c r="I22" s="11">
        <v>69.318045999999995</v>
      </c>
      <c r="J22" s="11"/>
      <c r="K22" s="11">
        <v>73.588235999999995</v>
      </c>
      <c r="L22" s="11">
        <v>73.784743000000006</v>
      </c>
      <c r="M22" s="11">
        <v>76.019176999999999</v>
      </c>
      <c r="N22" s="11">
        <v>75.784113000000005</v>
      </c>
      <c r="O22" s="11">
        <v>75.576843999999994</v>
      </c>
      <c r="P22" s="11">
        <v>78.438738999999998</v>
      </c>
      <c r="Q22" s="11">
        <v>80.192552000000006</v>
      </c>
      <c r="R22" s="11"/>
      <c r="T22" s="13" t="s">
        <v>12</v>
      </c>
      <c r="U22" s="11">
        <v>95.927530000000004</v>
      </c>
      <c r="V22" s="11">
        <v>96.146084999999999</v>
      </c>
      <c r="W22" s="11">
        <v>95.445706000000001</v>
      </c>
      <c r="X22" s="11">
        <v>95.542651000000006</v>
      </c>
      <c r="Y22" s="11">
        <v>94.06836899999999</v>
      </c>
      <c r="Z22" s="11">
        <v>93.730434000000002</v>
      </c>
      <c r="AA22" s="11">
        <v>94.698974000000007</v>
      </c>
      <c r="AB22" s="11"/>
      <c r="AC22" s="11">
        <v>6.8861039999999996</v>
      </c>
      <c r="AD22" s="11">
        <v>6.5923150000000001</v>
      </c>
      <c r="AE22" s="11">
        <v>6.3135339999999998</v>
      </c>
      <c r="AF22" s="11">
        <v>6.8040669999999999</v>
      </c>
      <c r="AG22" s="11">
        <v>6.5396809999999999</v>
      </c>
      <c r="AH22" s="11">
        <v>6.6367380000000002</v>
      </c>
      <c r="AI22" s="11">
        <v>6.5076859999999996</v>
      </c>
      <c r="AJ22" s="11"/>
    </row>
    <row r="23" spans="2:36" ht="16.5" customHeight="1" x14ac:dyDescent="0.25">
      <c r="B23" s="13" t="s">
        <v>13</v>
      </c>
      <c r="C23" s="11">
        <v>28.527611000000004</v>
      </c>
      <c r="D23" s="11">
        <v>25.375718000000003</v>
      </c>
      <c r="E23" s="11">
        <v>21.359977999999998</v>
      </c>
      <c r="F23" s="11">
        <v>19.352933</v>
      </c>
      <c r="G23" s="11">
        <v>16.318397000000001</v>
      </c>
      <c r="H23" s="11">
        <v>16.348144000000001</v>
      </c>
      <c r="I23" s="11">
        <v>19.091029000000002</v>
      </c>
      <c r="J23" s="11"/>
      <c r="K23" s="11">
        <v>28.116264999999999</v>
      </c>
      <c r="L23" s="11">
        <v>25.777370999999999</v>
      </c>
      <c r="M23" s="11">
        <v>22.374103999999999</v>
      </c>
      <c r="N23" s="11">
        <v>20.700192999999999</v>
      </c>
      <c r="O23" s="11">
        <v>17.930707999999999</v>
      </c>
      <c r="P23" s="11">
        <v>18.394708999999999</v>
      </c>
      <c r="Q23" s="11">
        <v>22.085999000000001</v>
      </c>
      <c r="R23" s="11"/>
      <c r="T23" s="13" t="s">
        <v>13</v>
      </c>
      <c r="U23" s="11">
        <v>75.950192000000001</v>
      </c>
      <c r="V23" s="11">
        <v>71.990010999999996</v>
      </c>
      <c r="W23" s="11">
        <v>64.347158000000007</v>
      </c>
      <c r="X23" s="11">
        <v>63.838192999999997</v>
      </c>
      <c r="Y23" s="11">
        <v>55.910968000000004</v>
      </c>
      <c r="Z23" s="11">
        <v>57.033272999999994</v>
      </c>
      <c r="AA23" s="11">
        <v>60.458389999999994</v>
      </c>
      <c r="AB23" s="11"/>
      <c r="AC23" s="11">
        <v>5.4520419999999996</v>
      </c>
      <c r="AD23" s="11">
        <v>4.9360390000000001</v>
      </c>
      <c r="AE23" s="11">
        <v>4.2564299999999999</v>
      </c>
      <c r="AF23" s="11">
        <v>4.5462350000000002</v>
      </c>
      <c r="AG23" s="11">
        <v>3.8869590000000001</v>
      </c>
      <c r="AH23" s="11">
        <v>4.038335</v>
      </c>
      <c r="AI23" s="11">
        <v>4.1546830000000003</v>
      </c>
      <c r="AJ23" s="11"/>
    </row>
    <row r="24" spans="2:36" ht="16.5" customHeight="1" x14ac:dyDescent="0.25">
      <c r="B24" s="14" t="s">
        <v>14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T24" s="14" t="s">
        <v>14</v>
      </c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2:36" ht="16.5" customHeight="1" x14ac:dyDescent="0.25">
      <c r="B25" s="15" t="s">
        <v>15</v>
      </c>
      <c r="C25" s="11">
        <v>21.205558</v>
      </c>
      <c r="D25" s="11">
        <v>20.023785999999998</v>
      </c>
      <c r="E25" s="11">
        <v>18.554031000000002</v>
      </c>
      <c r="F25" s="11">
        <v>17.815267000000002</v>
      </c>
      <c r="G25" s="11">
        <v>16.673286000000001</v>
      </c>
      <c r="H25" s="11">
        <v>16.049654999999998</v>
      </c>
      <c r="I25" s="11">
        <v>15.38503</v>
      </c>
      <c r="J25" s="11"/>
      <c r="K25" s="11">
        <v>20.899789999999999</v>
      </c>
      <c r="L25" s="11">
        <v>20.340727000000001</v>
      </c>
      <c r="M25" s="11">
        <v>19.434937000000001</v>
      </c>
      <c r="N25" s="11">
        <v>19.055482000000001</v>
      </c>
      <c r="O25" s="11">
        <v>18.320661999999999</v>
      </c>
      <c r="P25" s="11">
        <v>18.058854</v>
      </c>
      <c r="Q25" s="11">
        <v>17.798608999999999</v>
      </c>
      <c r="R25" s="11"/>
      <c r="T25" s="15" t="s">
        <v>15</v>
      </c>
      <c r="U25" s="11">
        <v>49.946075</v>
      </c>
      <c r="V25" s="11">
        <v>48.577967999999998</v>
      </c>
      <c r="W25" s="11">
        <v>47.370446000000001</v>
      </c>
      <c r="X25" s="11">
        <v>46.512075000000003</v>
      </c>
      <c r="Y25" s="11">
        <v>43.192160000000001</v>
      </c>
      <c r="Z25" s="11">
        <v>43.386545999999996</v>
      </c>
      <c r="AA25" s="11">
        <v>43.819597000000002</v>
      </c>
      <c r="AB25" s="11"/>
      <c r="AC25" s="11">
        <v>3.5853510000000002</v>
      </c>
      <c r="AD25" s="11">
        <v>3.330778</v>
      </c>
      <c r="AE25" s="11">
        <v>3.1334559999999998</v>
      </c>
      <c r="AF25" s="11">
        <v>3.3123559999999999</v>
      </c>
      <c r="AG25" s="11">
        <v>3.0027409999999999</v>
      </c>
      <c r="AH25" s="11">
        <v>3.0720559999999999</v>
      </c>
      <c r="AI25" s="11">
        <v>3.0112700000000001</v>
      </c>
      <c r="AJ25" s="11"/>
    </row>
    <row r="26" spans="2:36" x14ac:dyDescent="0.25">
      <c r="B26" s="13" t="s">
        <v>16</v>
      </c>
      <c r="C26" s="11">
        <v>37.385790999999998</v>
      </c>
      <c r="D26" s="11">
        <v>28.855496000000002</v>
      </c>
      <c r="E26" s="11">
        <v>21.271062000000001</v>
      </c>
      <c r="F26" s="11">
        <v>17.972646000000001</v>
      </c>
      <c r="G26" s="11">
        <v>15.485897000000001</v>
      </c>
      <c r="H26" s="11">
        <v>16.125907000000002</v>
      </c>
      <c r="I26" s="11">
        <v>27.748835</v>
      </c>
      <c r="J26" s="11"/>
      <c r="K26" s="11">
        <v>36.846716999999998</v>
      </c>
      <c r="L26" s="11">
        <v>29.312228000000001</v>
      </c>
      <c r="M26" s="11">
        <v>22.280965999999999</v>
      </c>
      <c r="N26" s="11">
        <v>19.223817</v>
      </c>
      <c r="O26" s="11">
        <v>17.015955000000002</v>
      </c>
      <c r="P26" s="11">
        <v>18.144651</v>
      </c>
      <c r="Q26" s="11">
        <v>32.102027999999997</v>
      </c>
      <c r="R26" s="11"/>
      <c r="T26" s="13" t="s">
        <v>16</v>
      </c>
      <c r="U26" s="11">
        <v>51.870391000000005</v>
      </c>
      <c r="V26" s="11">
        <v>36.357658000000001</v>
      </c>
      <c r="W26" s="11">
        <v>23.359876</v>
      </c>
      <c r="X26" s="11">
        <v>18.359497000000001</v>
      </c>
      <c r="Y26" s="11">
        <v>13.264517000000001</v>
      </c>
      <c r="Z26" s="11">
        <v>13.230791</v>
      </c>
      <c r="AA26" s="11">
        <v>30.937878000000001</v>
      </c>
      <c r="AB26" s="11"/>
      <c r="AC26" s="11">
        <v>3.723487</v>
      </c>
      <c r="AD26" s="11">
        <v>2.4928849999999998</v>
      </c>
      <c r="AE26" s="11">
        <v>1.545207</v>
      </c>
      <c r="AF26" s="11">
        <v>1.307471</v>
      </c>
      <c r="AG26" s="11">
        <v>0.92215599999999998</v>
      </c>
      <c r="AH26" s="11">
        <v>0.93682799999999999</v>
      </c>
      <c r="AI26" s="11">
        <v>2.126042</v>
      </c>
      <c r="AJ26" s="11"/>
    </row>
    <row r="27" spans="2:36" x14ac:dyDescent="0.25">
      <c r="B27" s="13" t="s">
        <v>17</v>
      </c>
      <c r="C27" s="11">
        <v>62.516689999999997</v>
      </c>
      <c r="D27" s="11">
        <v>58.973858999999997</v>
      </c>
      <c r="E27" s="11">
        <v>59.571669999999997</v>
      </c>
      <c r="F27" s="11">
        <v>56.640225000000001</v>
      </c>
      <c r="G27" s="11">
        <v>53.954757000000001</v>
      </c>
      <c r="H27" s="11">
        <v>55.576872000000002</v>
      </c>
      <c r="I27" s="11">
        <v>55.174716999999994</v>
      </c>
      <c r="J27" s="11"/>
      <c r="K27" s="11">
        <v>61.615246999999997</v>
      </c>
      <c r="L27" s="11">
        <v>59.907311999999997</v>
      </c>
      <c r="M27" s="11">
        <v>62.400005</v>
      </c>
      <c r="N27" s="11">
        <v>60.58325</v>
      </c>
      <c r="O27" s="11">
        <v>59.285665000000002</v>
      </c>
      <c r="P27" s="11">
        <v>62.534340999999998</v>
      </c>
      <c r="Q27" s="11">
        <v>63.830438999999998</v>
      </c>
      <c r="R27" s="11"/>
      <c r="T27" s="13" t="s">
        <v>17</v>
      </c>
      <c r="U27" s="11">
        <v>85.957945999999993</v>
      </c>
      <c r="V27" s="11">
        <v>83.547189000000003</v>
      </c>
      <c r="W27" s="11">
        <v>82.309297000000001</v>
      </c>
      <c r="X27" s="11">
        <v>82.315684000000005</v>
      </c>
      <c r="Y27" s="11">
        <v>79.94400499999999</v>
      </c>
      <c r="Z27" s="11">
        <v>80.263987</v>
      </c>
      <c r="AA27" s="11">
        <v>78.821273000000005</v>
      </c>
      <c r="AB27" s="11"/>
      <c r="AC27" s="11">
        <v>6.1704429999999997</v>
      </c>
      <c r="AD27" s="11">
        <v>5.7284639999999998</v>
      </c>
      <c r="AE27" s="11">
        <v>5.4445880000000004</v>
      </c>
      <c r="AF27" s="11">
        <v>5.8621090000000002</v>
      </c>
      <c r="AG27" s="11">
        <v>5.5577480000000001</v>
      </c>
      <c r="AH27" s="11">
        <v>5.6832240000000001</v>
      </c>
      <c r="AI27" s="11">
        <v>5.4165749999999999</v>
      </c>
      <c r="AJ27" s="11"/>
    </row>
    <row r="28" spans="2:36" x14ac:dyDescent="0.25">
      <c r="B28" s="13" t="s">
        <v>18</v>
      </c>
      <c r="C28" s="11">
        <v>14.879538</v>
      </c>
      <c r="D28" s="11">
        <v>12.957352999999999</v>
      </c>
      <c r="E28" s="11">
        <v>11.685444</v>
      </c>
      <c r="F28" s="11">
        <v>10.450458999999999</v>
      </c>
      <c r="G28" s="11">
        <v>10.379244999999999</v>
      </c>
      <c r="H28" s="11">
        <v>9.4030206000000014</v>
      </c>
      <c r="I28" s="11">
        <v>7.9283810999999993</v>
      </c>
      <c r="J28" s="11"/>
      <c r="K28" s="11">
        <v>14.664987</v>
      </c>
      <c r="L28" s="11">
        <v>13.162445</v>
      </c>
      <c r="M28" s="11">
        <v>12.240244000000001</v>
      </c>
      <c r="N28" s="11">
        <v>11.177970999999999</v>
      </c>
      <c r="O28" s="11">
        <v>11.404749000000001</v>
      </c>
      <c r="P28" s="11">
        <v>10.580151000000001</v>
      </c>
      <c r="Q28" s="11">
        <v>9.1721730000000008</v>
      </c>
      <c r="R28" s="11"/>
      <c r="T28" s="13" t="s">
        <v>18</v>
      </c>
      <c r="U28" s="11">
        <v>50.768453000000001</v>
      </c>
      <c r="V28" s="11">
        <v>41.938473000000002</v>
      </c>
      <c r="W28" s="11">
        <v>36.636758</v>
      </c>
      <c r="X28" s="11">
        <v>35.278565999999998</v>
      </c>
      <c r="Y28" s="11">
        <v>32.983964</v>
      </c>
      <c r="Z28" s="11">
        <v>32.430330000000005</v>
      </c>
      <c r="AA28" s="11">
        <v>28.89433</v>
      </c>
      <c r="AB28" s="11"/>
      <c r="AC28" s="11">
        <v>3.6443850000000002</v>
      </c>
      <c r="AD28" s="11">
        <v>2.875537</v>
      </c>
      <c r="AE28" s="11">
        <v>2.4234450000000001</v>
      </c>
      <c r="AF28" s="11">
        <v>2.512362</v>
      </c>
      <c r="AG28" s="11">
        <v>2.2930619999999999</v>
      </c>
      <c r="AH28" s="11">
        <v>2.2962829999999999</v>
      </c>
      <c r="AI28" s="11">
        <v>1.9856100000000001</v>
      </c>
      <c r="AJ28" s="11"/>
    </row>
    <row r="29" spans="2:36" x14ac:dyDescent="0.25">
      <c r="B29" s="13" t="s">
        <v>19</v>
      </c>
      <c r="C29" s="11">
        <v>19.377258999999999</v>
      </c>
      <c r="D29" s="11">
        <v>19.215536999999998</v>
      </c>
      <c r="E29" s="11">
        <v>17.919941000000001</v>
      </c>
      <c r="F29" s="11">
        <v>17.771984</v>
      </c>
      <c r="G29" s="11">
        <v>16.25468</v>
      </c>
      <c r="H29" s="11">
        <v>16.638152000000002</v>
      </c>
      <c r="I29" s="11">
        <v>14.861420000000001</v>
      </c>
      <c r="J29" s="11"/>
      <c r="K29" s="11">
        <v>19.097854000000002</v>
      </c>
      <c r="L29" s="11">
        <v>19.519684999999999</v>
      </c>
      <c r="M29" s="11">
        <v>18.770741000000001</v>
      </c>
      <c r="N29" s="11">
        <v>19.009186</v>
      </c>
      <c r="O29" s="11">
        <v>17.860696000000001</v>
      </c>
      <c r="P29" s="11">
        <v>18.721022999999999</v>
      </c>
      <c r="Q29" s="11">
        <v>17.192855999999999</v>
      </c>
      <c r="R29" s="11"/>
      <c r="T29" s="13" t="s">
        <v>19</v>
      </c>
      <c r="U29" s="11">
        <v>68.253747000000004</v>
      </c>
      <c r="V29" s="11">
        <v>74.376630000000006</v>
      </c>
      <c r="W29" s="11">
        <v>69.288145</v>
      </c>
      <c r="X29" s="11">
        <v>70.357258000000002</v>
      </c>
      <c r="Y29" s="11">
        <v>64.599310000000003</v>
      </c>
      <c r="Z29" s="11">
        <v>66.565837999999999</v>
      </c>
      <c r="AA29" s="11">
        <v>67.532430000000005</v>
      </c>
      <c r="AB29" s="11"/>
      <c r="AC29" s="11">
        <v>4.8995569999999997</v>
      </c>
      <c r="AD29" s="11">
        <v>5.0996790000000001</v>
      </c>
      <c r="AE29" s="11">
        <v>4.5832660000000001</v>
      </c>
      <c r="AF29" s="11">
        <v>5.0104899999999999</v>
      </c>
      <c r="AG29" s="11">
        <v>4.490977</v>
      </c>
      <c r="AH29" s="11">
        <v>4.7133039999999999</v>
      </c>
      <c r="AI29" s="11">
        <v>4.640809</v>
      </c>
      <c r="AJ29" s="11"/>
    </row>
    <row r="30" spans="2:36" x14ac:dyDescent="0.25">
      <c r="B30" s="31" t="s">
        <v>20</v>
      </c>
      <c r="C30" s="11">
        <v>20.112877000000001</v>
      </c>
      <c r="D30" s="11">
        <v>23.651774</v>
      </c>
      <c r="E30" s="11">
        <v>22.454365000000003</v>
      </c>
      <c r="F30" s="11">
        <v>22.095553000000002</v>
      </c>
      <c r="G30" s="11">
        <v>19.291013</v>
      </c>
      <c r="H30" s="11">
        <v>19.552140000000001</v>
      </c>
      <c r="I30" s="11">
        <v>20.103428000000001</v>
      </c>
      <c r="J30" s="11"/>
      <c r="K30" s="11">
        <v>19.822865</v>
      </c>
      <c r="L30" s="11">
        <v>24.026140000000002</v>
      </c>
      <c r="M30" s="11">
        <v>23.52045</v>
      </c>
      <c r="N30" s="11">
        <v>23.633741000000001</v>
      </c>
      <c r="O30" s="11">
        <v>21.197029000000001</v>
      </c>
      <c r="P30" s="11">
        <v>21.999801999999999</v>
      </c>
      <c r="Q30" s="11">
        <v>23.257221999999999</v>
      </c>
      <c r="R30" s="11"/>
      <c r="T30" s="31" t="s">
        <v>20</v>
      </c>
      <c r="U30" s="11">
        <v>42.271904999999997</v>
      </c>
      <c r="V30" s="11">
        <v>40.542088</v>
      </c>
      <c r="W30" s="11">
        <v>35.343989000000001</v>
      </c>
      <c r="X30" s="11">
        <v>41.345590999999999</v>
      </c>
      <c r="Y30" s="11">
        <v>31.501005999999997</v>
      </c>
      <c r="Z30" s="11">
        <v>33.710704</v>
      </c>
      <c r="AA30" s="11">
        <v>31.466111000000001</v>
      </c>
      <c r="AB30" s="11"/>
      <c r="AC30" s="11">
        <v>3.034465</v>
      </c>
      <c r="AD30" s="11">
        <v>2.7797930000000002</v>
      </c>
      <c r="AE30" s="11">
        <v>2.3379310000000002</v>
      </c>
      <c r="AF30" s="11">
        <v>2.9444249999999998</v>
      </c>
      <c r="AG30" s="11">
        <v>2.1899660000000001</v>
      </c>
      <c r="AH30" s="11">
        <v>2.3869419999999999</v>
      </c>
      <c r="AI30" s="11">
        <v>2.1623420000000002</v>
      </c>
      <c r="AJ30" s="11"/>
    </row>
    <row r="31" spans="2:36" x14ac:dyDescent="0.25">
      <c r="B31" s="7" t="s">
        <v>21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T31" s="7" t="s">
        <v>21</v>
      </c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2:36" ht="25.5" x14ac:dyDescent="0.25">
      <c r="B32" s="15" t="s">
        <v>22</v>
      </c>
      <c r="C32" s="11">
        <v>14.393676999999999</v>
      </c>
      <c r="D32" s="11">
        <v>16.831703999999998</v>
      </c>
      <c r="E32" s="11">
        <v>17.88438</v>
      </c>
      <c r="F32" s="11">
        <v>18.219237999999997</v>
      </c>
      <c r="G32" s="11">
        <v>15.160766000000001</v>
      </c>
      <c r="H32" s="11">
        <v>14.527987000000001</v>
      </c>
      <c r="I32" s="11">
        <v>18.318657999999999</v>
      </c>
      <c r="J32" s="11"/>
      <c r="K32" s="11">
        <v>14.186131</v>
      </c>
      <c r="L32" s="11">
        <v>17.098120000000002</v>
      </c>
      <c r="M32" s="11">
        <v>18.733491999999998</v>
      </c>
      <c r="N32" s="11">
        <v>19.487575</v>
      </c>
      <c r="O32" s="11">
        <v>16.6587</v>
      </c>
      <c r="P32" s="11">
        <v>16.346693999999999</v>
      </c>
      <c r="Q32" s="11">
        <v>21.192460000000001</v>
      </c>
      <c r="R32" s="11"/>
      <c r="T32" s="15" t="s">
        <v>22</v>
      </c>
      <c r="U32" s="11">
        <v>45.023280999999997</v>
      </c>
      <c r="V32" s="11">
        <v>52.063797000000001</v>
      </c>
      <c r="W32" s="11">
        <v>49.001306</v>
      </c>
      <c r="X32" s="11">
        <v>51.215763000000003</v>
      </c>
      <c r="Y32" s="11">
        <v>49.316108</v>
      </c>
      <c r="Z32" s="11">
        <v>48.124518999999999</v>
      </c>
      <c r="AA32" s="11">
        <v>49.897024000000002</v>
      </c>
      <c r="AB32" s="11"/>
      <c r="AC32" s="11">
        <v>3.2319710000000001</v>
      </c>
      <c r="AD32" s="11">
        <v>3.5697860000000001</v>
      </c>
      <c r="AE32" s="11">
        <v>3.2413340000000002</v>
      </c>
      <c r="AF32" s="11">
        <v>3.647329</v>
      </c>
      <c r="AG32" s="11">
        <v>3.4284810000000001</v>
      </c>
      <c r="AH32" s="11">
        <v>3.4075359999999999</v>
      </c>
      <c r="AI32" s="11">
        <v>3.428909</v>
      </c>
      <c r="AJ32" s="11"/>
    </row>
    <row r="33" spans="1:49" ht="15.75" thickBot="1" x14ac:dyDescent="0.3">
      <c r="A33" s="17"/>
      <c r="B33" s="23" t="s">
        <v>23</v>
      </c>
      <c r="C33" s="18">
        <v>46.352958999999998</v>
      </c>
      <c r="D33" s="18">
        <v>49.475546000000001</v>
      </c>
      <c r="E33" s="18">
        <v>49.401257000000001</v>
      </c>
      <c r="F33" s="18">
        <v>50.968652000000006</v>
      </c>
      <c r="G33" s="18">
        <v>48.318981000000001</v>
      </c>
      <c r="H33" s="18">
        <v>46.560141000000002</v>
      </c>
      <c r="I33" s="18">
        <v>50.183701999999997</v>
      </c>
      <c r="J33" s="18"/>
      <c r="K33" s="18">
        <v>45.684584999999998</v>
      </c>
      <c r="L33" s="18">
        <v>50.258656999999999</v>
      </c>
      <c r="M33" s="18">
        <v>51.746723000000003</v>
      </c>
      <c r="N33" s="18">
        <v>54.516849000000001</v>
      </c>
      <c r="O33" s="18">
        <v>53.093055</v>
      </c>
      <c r="P33" s="18">
        <v>52.388838</v>
      </c>
      <c r="Q33" s="18">
        <v>58.056441999999997</v>
      </c>
      <c r="R33" s="18"/>
      <c r="T33" s="23" t="s">
        <v>23</v>
      </c>
      <c r="U33" s="18">
        <v>77.031053</v>
      </c>
      <c r="V33" s="18">
        <v>80.264232000000007</v>
      </c>
      <c r="W33" s="18">
        <v>77.89228700000001</v>
      </c>
      <c r="X33" s="18">
        <v>79.66228199999999</v>
      </c>
      <c r="Y33" s="18">
        <v>78.849738000000002</v>
      </c>
      <c r="Z33" s="18">
        <v>76.235593999999992</v>
      </c>
      <c r="AA33" s="18">
        <v>77.654590999999996</v>
      </c>
      <c r="AB33" s="18"/>
      <c r="AC33" s="18">
        <v>5.5296310000000002</v>
      </c>
      <c r="AD33" s="18">
        <v>5.5033659999999998</v>
      </c>
      <c r="AE33" s="18">
        <v>5.152412</v>
      </c>
      <c r="AF33" s="18">
        <v>5.6731470000000002</v>
      </c>
      <c r="AG33" s="18">
        <v>5.4816739999999999</v>
      </c>
      <c r="AH33" s="18">
        <v>5.3979869999999996</v>
      </c>
      <c r="AI33" s="18">
        <v>5.3364010000000004</v>
      </c>
      <c r="AJ33" s="18"/>
    </row>
    <row r="34" spans="1:49" ht="15.75" thickTop="1" x14ac:dyDescent="0.25">
      <c r="B34" s="19" t="s">
        <v>26</v>
      </c>
      <c r="Q34" s="11"/>
      <c r="T34" s="19" t="s">
        <v>26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49" x14ac:dyDescent="0.25"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</row>
    <row r="36" spans="1:49" x14ac:dyDescent="0.25"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</row>
    <row r="37" spans="1:49" x14ac:dyDescent="0.25"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</row>
    <row r="38" spans="1:49" x14ac:dyDescent="0.25"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</row>
    <row r="39" spans="1:49" x14ac:dyDescent="0.25"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</row>
    <row r="40" spans="1:49" x14ac:dyDescent="0.25"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</row>
    <row r="41" spans="1:49" x14ac:dyDescent="0.25"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</row>
    <row r="42" spans="1:49" x14ac:dyDescent="0.25"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</row>
    <row r="43" spans="1:49" x14ac:dyDescent="0.25"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</row>
    <row r="44" spans="1:49" x14ac:dyDescent="0.25"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</row>
    <row r="45" spans="1:49" x14ac:dyDescent="0.25"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</row>
    <row r="46" spans="1:49" x14ac:dyDescent="0.25"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</row>
    <row r="47" spans="1:49" x14ac:dyDescent="0.25"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</row>
    <row r="48" spans="1:49" x14ac:dyDescent="0.25"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</row>
    <row r="49" spans="35:49" x14ac:dyDescent="0.25"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</row>
    <row r="50" spans="35:49" x14ac:dyDescent="0.25"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</row>
    <row r="51" spans="35:49" x14ac:dyDescent="0.25"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</row>
  </sheetData>
  <mergeCells count="13">
    <mergeCell ref="AC12:AI12"/>
    <mergeCell ref="B11:B13"/>
    <mergeCell ref="C11:R11"/>
    <mergeCell ref="T11:T13"/>
    <mergeCell ref="U11:AJ11"/>
    <mergeCell ref="C12:I12"/>
    <mergeCell ref="K12:Q12"/>
    <mergeCell ref="U12:AA12"/>
    <mergeCell ref="B8:R8"/>
    <mergeCell ref="B9:R9"/>
    <mergeCell ref="T9:AJ9"/>
    <mergeCell ref="B10:R10"/>
    <mergeCell ref="T10:AJ10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92988-CEEC-4C04-98B4-9484E9C38636}">
  <dimension ref="A4:R39"/>
  <sheetViews>
    <sheetView workbookViewId="0">
      <selection activeCell="L38" sqref="L38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9.42578125" style="2" bestFit="1" customWidth="1"/>
    <col min="10" max="10" width="0.85546875" style="2" customWidth="1"/>
    <col min="11" max="16" width="10.5703125" style="2" customWidth="1"/>
    <col min="17" max="17" width="10.4257812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customHeight="1" x14ac:dyDescent="0.25">
      <c r="A9" s="1"/>
      <c r="B9" s="70" t="s">
        <v>66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2">
        <v>2008</v>
      </c>
      <c r="D13" s="22">
        <v>2010</v>
      </c>
      <c r="E13" s="22">
        <v>2012</v>
      </c>
      <c r="F13" s="22">
        <v>2014</v>
      </c>
      <c r="G13" s="22">
        <v>2016</v>
      </c>
      <c r="H13" s="22">
        <v>2018</v>
      </c>
      <c r="I13" s="22">
        <v>2020</v>
      </c>
      <c r="J13" s="56"/>
      <c r="K13" s="22">
        <v>2008</v>
      </c>
      <c r="L13" s="22">
        <v>2010</v>
      </c>
      <c r="M13" s="22">
        <v>2012</v>
      </c>
      <c r="N13" s="22">
        <v>2014</v>
      </c>
      <c r="O13" s="22">
        <v>2016</v>
      </c>
      <c r="P13" s="22">
        <v>2018</v>
      </c>
      <c r="Q13" s="22">
        <v>2020</v>
      </c>
      <c r="R13" s="6"/>
    </row>
    <row r="14" spans="1:18" ht="15" customHeight="1" x14ac:dyDescent="0.25">
      <c r="B14" s="7" t="s">
        <v>4</v>
      </c>
      <c r="C14" s="54"/>
      <c r="D14" s="54"/>
      <c r="E14" s="54"/>
      <c r="F14" s="54"/>
      <c r="G14" s="54"/>
      <c r="H14" s="54"/>
      <c r="I14" s="54"/>
      <c r="J14" s="55"/>
      <c r="K14" s="54"/>
      <c r="L14" s="54"/>
      <c r="M14" s="54"/>
      <c r="N14" s="54"/>
      <c r="O14" s="54"/>
      <c r="P14" s="54"/>
      <c r="Q14" s="54"/>
      <c r="R14" s="9"/>
    </row>
    <row r="15" spans="1:18" ht="15" customHeight="1" x14ac:dyDescent="0.25">
      <c r="B15" s="10" t="s">
        <v>5</v>
      </c>
      <c r="C15" s="93">
        <v>53.824434736829708</v>
      </c>
      <c r="D15" s="93">
        <v>57.095980057883068</v>
      </c>
      <c r="E15" s="93">
        <v>49.689859342954868</v>
      </c>
      <c r="F15" s="93">
        <v>49.570649221430926</v>
      </c>
      <c r="G15" s="93">
        <v>50.851786428559009</v>
      </c>
      <c r="H15" s="93">
        <v>53.646294296110099</v>
      </c>
      <c r="I15" s="98">
        <f>0.52965*100</f>
        <v>52.964999999999996</v>
      </c>
      <c r="J15" s="96"/>
      <c r="K15" s="84">
        <v>1188.0139999999999</v>
      </c>
      <c r="L15" s="84">
        <v>1291.595</v>
      </c>
      <c r="M15" s="84">
        <v>1149.3979999999999</v>
      </c>
      <c r="N15" s="84">
        <v>1169.789</v>
      </c>
      <c r="O15" s="84">
        <v>1228.0920000000001</v>
      </c>
      <c r="P15" s="84">
        <v>1320.172</v>
      </c>
      <c r="Q15" s="90">
        <f>1326735/1000</f>
        <v>1326.7349999999999</v>
      </c>
      <c r="R15" s="11"/>
    </row>
    <row r="16" spans="1:18" ht="15" customHeight="1" x14ac:dyDescent="0.25">
      <c r="B16" s="10" t="s">
        <v>6</v>
      </c>
      <c r="C16" s="93">
        <v>38.035349732376105</v>
      </c>
      <c r="D16" s="93">
        <v>43.530592839457384</v>
      </c>
      <c r="E16" s="93">
        <v>35.389020311748858</v>
      </c>
      <c r="F16" s="93">
        <v>38.541309121542881</v>
      </c>
      <c r="G16" s="93">
        <v>39.082508709993455</v>
      </c>
      <c r="H16" s="93">
        <v>41.35407549000724</v>
      </c>
      <c r="I16" s="99">
        <f>0.389408*100</f>
        <v>38.940799999999996</v>
      </c>
      <c r="J16" s="96"/>
      <c r="K16" s="84">
        <v>839.51700000000005</v>
      </c>
      <c r="L16" s="84">
        <v>984.726</v>
      </c>
      <c r="M16" s="84">
        <v>818.59900000000005</v>
      </c>
      <c r="N16" s="84">
        <v>909.51400000000001</v>
      </c>
      <c r="O16" s="84">
        <v>943.85900000000004</v>
      </c>
      <c r="P16" s="84">
        <v>1017.675</v>
      </c>
      <c r="Q16" s="90">
        <f>975439/1000</f>
        <v>975.43899999999996</v>
      </c>
      <c r="R16" s="11"/>
    </row>
    <row r="17" spans="2:18" ht="15" customHeight="1" x14ac:dyDescent="0.25">
      <c r="B17" s="10" t="s">
        <v>7</v>
      </c>
      <c r="C17" s="93">
        <v>15.789085004453602</v>
      </c>
      <c r="D17" s="93">
        <v>13.565387218425681</v>
      </c>
      <c r="E17" s="93">
        <v>14.300839031206012</v>
      </c>
      <c r="F17" s="93">
        <v>11.029340099888044</v>
      </c>
      <c r="G17" s="93">
        <v>11.769277718565558</v>
      </c>
      <c r="H17" s="93">
        <v>12.292218806102854</v>
      </c>
      <c r="I17" s="99">
        <f>0.140242*100</f>
        <v>14.0242</v>
      </c>
      <c r="J17" s="96"/>
      <c r="K17" s="84">
        <v>348.49700000000001</v>
      </c>
      <c r="L17" s="84">
        <v>306.86900000000003</v>
      </c>
      <c r="M17" s="84">
        <v>330.79899999999998</v>
      </c>
      <c r="N17" s="84">
        <v>260.27499999999998</v>
      </c>
      <c r="O17" s="84">
        <v>284.233</v>
      </c>
      <c r="P17" s="84">
        <v>302.49700000000001</v>
      </c>
      <c r="Q17" s="90">
        <f>351296/1000</f>
        <v>351.29599999999999</v>
      </c>
      <c r="R17" s="11"/>
    </row>
    <row r="18" spans="2:18" ht="15" customHeight="1" x14ac:dyDescent="0.25">
      <c r="B18" s="10" t="s">
        <v>8</v>
      </c>
      <c r="C18" s="93">
        <v>33.758577601868787</v>
      </c>
      <c r="D18" s="93">
        <v>27.225242214586409</v>
      </c>
      <c r="E18" s="93">
        <v>33.951928630470043</v>
      </c>
      <c r="F18" s="93">
        <v>37.453736309464787</v>
      </c>
      <c r="G18" s="93">
        <v>35.438058634176961</v>
      </c>
      <c r="H18" s="93">
        <v>33.392661655455242</v>
      </c>
      <c r="I18" s="99">
        <f>0.309762*100</f>
        <v>30.976199999999999</v>
      </c>
      <c r="J18" s="96"/>
      <c r="K18" s="84">
        <v>745.12</v>
      </c>
      <c r="L18" s="84">
        <v>615.875</v>
      </c>
      <c r="M18" s="84">
        <v>785.35699999999997</v>
      </c>
      <c r="N18" s="84">
        <v>883.84900000000005</v>
      </c>
      <c r="O18" s="84">
        <v>855.84400000000005</v>
      </c>
      <c r="P18" s="84">
        <v>821.75400000000002</v>
      </c>
      <c r="Q18" s="90">
        <f>775932/1000</f>
        <v>775.93200000000002</v>
      </c>
      <c r="R18" s="11"/>
    </row>
    <row r="19" spans="2:18" ht="15" customHeight="1" x14ac:dyDescent="0.25">
      <c r="B19" s="10" t="s">
        <v>9</v>
      </c>
      <c r="C19" s="93">
        <v>2.7906825020999437</v>
      </c>
      <c r="D19" s="93">
        <v>4.1317385651772414</v>
      </c>
      <c r="E19" s="93">
        <v>3.0061249969738157</v>
      </c>
      <c r="F19" s="93">
        <v>2.3485470637440979</v>
      </c>
      <c r="G19" s="93">
        <v>2.5937023041421225</v>
      </c>
      <c r="H19" s="93">
        <v>2.5253140947026309</v>
      </c>
      <c r="I19" s="99">
        <f>0.0381364*100</f>
        <v>3.8136399999999999</v>
      </c>
      <c r="J19" s="96"/>
      <c r="K19" s="84">
        <v>61.595999999999997</v>
      </c>
      <c r="L19" s="84">
        <v>93.465999999999994</v>
      </c>
      <c r="M19" s="84">
        <v>69.536000000000001</v>
      </c>
      <c r="N19" s="84">
        <v>55.421999999999997</v>
      </c>
      <c r="O19" s="84">
        <v>62.639000000000003</v>
      </c>
      <c r="P19" s="84">
        <v>62.145000000000003</v>
      </c>
      <c r="Q19" s="90">
        <f>95529/1000</f>
        <v>95.528999999999996</v>
      </c>
      <c r="R19" s="11"/>
    </row>
    <row r="20" spans="2:18" ht="15" customHeight="1" x14ac:dyDescent="0.25">
      <c r="B20" s="10" t="s">
        <v>10</v>
      </c>
      <c r="C20" s="93">
        <v>9.6263051592015589</v>
      </c>
      <c r="D20" s="93">
        <v>11.547039162353286</v>
      </c>
      <c r="E20" s="93">
        <v>13.35208702960127</v>
      </c>
      <c r="F20" s="93">
        <v>10.62706740536019</v>
      </c>
      <c r="G20" s="93">
        <v>11.116452633121908</v>
      </c>
      <c r="H20" s="93">
        <v>10.435729953732036</v>
      </c>
      <c r="I20" s="99">
        <f>0.122451*100</f>
        <v>12.245100000000001</v>
      </c>
      <c r="J20" s="96"/>
      <c r="K20" s="84">
        <v>212.47200000000001</v>
      </c>
      <c r="L20" s="84">
        <v>261.21100000000001</v>
      </c>
      <c r="M20" s="84">
        <v>308.85300000000001</v>
      </c>
      <c r="N20" s="84">
        <v>250.78200000000001</v>
      </c>
      <c r="O20" s="84">
        <v>268.46699999999998</v>
      </c>
      <c r="P20" s="84">
        <v>256.81099999999998</v>
      </c>
      <c r="Q20" s="90">
        <f>306732/1000</f>
        <v>306.73200000000003</v>
      </c>
      <c r="R20" s="11"/>
    </row>
    <row r="21" spans="2:18" x14ac:dyDescent="0.25">
      <c r="B21" s="12" t="s">
        <v>11</v>
      </c>
      <c r="C21" s="93"/>
      <c r="D21" s="93"/>
      <c r="E21" s="93"/>
      <c r="F21" s="93"/>
      <c r="G21" s="93"/>
      <c r="H21" s="93"/>
      <c r="I21" s="99"/>
      <c r="J21" s="96"/>
      <c r="K21" s="84"/>
      <c r="L21" s="84"/>
      <c r="M21" s="84"/>
      <c r="N21" s="84"/>
      <c r="O21" s="84"/>
      <c r="P21" s="84"/>
      <c r="Q21" s="90"/>
      <c r="R21" s="11"/>
    </row>
    <row r="22" spans="2:18" x14ac:dyDescent="0.25">
      <c r="B22" s="13" t="s">
        <v>12</v>
      </c>
      <c r="C22" s="93">
        <v>87.583012338698495</v>
      </c>
      <c r="D22" s="93">
        <v>84.32122227246947</v>
      </c>
      <c r="E22" s="93">
        <v>83.641787973424925</v>
      </c>
      <c r="F22" s="93">
        <v>87.024385530895714</v>
      </c>
      <c r="G22" s="93">
        <v>86.289845062735964</v>
      </c>
      <c r="H22" s="93">
        <v>87.038955951565327</v>
      </c>
      <c r="I22" s="99">
        <f>0.839412*100</f>
        <v>83.941200000000009</v>
      </c>
      <c r="J22" s="96"/>
      <c r="K22" s="84">
        <v>1933.134</v>
      </c>
      <c r="L22" s="84">
        <v>1907.47</v>
      </c>
      <c r="M22" s="84">
        <v>1934.7550000000001</v>
      </c>
      <c r="N22" s="84">
        <v>2053.6379999999999</v>
      </c>
      <c r="O22" s="84">
        <v>2083.9360000000001</v>
      </c>
      <c r="P22" s="84">
        <v>2141.9259999999999</v>
      </c>
      <c r="Q22" s="90">
        <f>2102667/1000</f>
        <v>2102.6669999999999</v>
      </c>
      <c r="R22" s="11"/>
    </row>
    <row r="23" spans="2:18" x14ac:dyDescent="0.25">
      <c r="B23" s="13" t="s">
        <v>13</v>
      </c>
      <c r="C23" s="93">
        <v>37.426615235035129</v>
      </c>
      <c r="D23" s="93">
        <v>39.011655741205146</v>
      </c>
      <c r="E23" s="93">
        <v>37.535492818432402</v>
      </c>
      <c r="F23" s="93">
        <v>38.453760887381442</v>
      </c>
      <c r="G23" s="93">
        <v>36.28239177620928</v>
      </c>
      <c r="H23" s="93">
        <v>37.158344040876401</v>
      </c>
      <c r="I23" s="99">
        <f>0.368607*100</f>
        <v>36.860700000000001</v>
      </c>
      <c r="J23" s="96"/>
      <c r="K23" s="84">
        <v>826.08100000000002</v>
      </c>
      <c r="L23" s="84">
        <v>882.50099999999998</v>
      </c>
      <c r="M23" s="84">
        <v>868.25</v>
      </c>
      <c r="N23" s="84">
        <v>907.44799999999998</v>
      </c>
      <c r="O23" s="84">
        <v>876.23500000000001</v>
      </c>
      <c r="P23" s="84">
        <v>914.423</v>
      </c>
      <c r="Q23" s="90">
        <f>923333/1000</f>
        <v>923.33299999999997</v>
      </c>
      <c r="R23" s="11"/>
    </row>
    <row r="24" spans="2:18" x14ac:dyDescent="0.25">
      <c r="B24" s="14" t="s">
        <v>14</v>
      </c>
      <c r="C24" s="93"/>
      <c r="D24" s="93"/>
      <c r="E24" s="93"/>
      <c r="F24" s="93"/>
      <c r="G24" s="93"/>
      <c r="H24" s="93"/>
      <c r="I24" s="99"/>
      <c r="J24" s="96"/>
      <c r="K24" s="84"/>
      <c r="L24" s="84"/>
      <c r="M24" s="84"/>
      <c r="N24" s="84"/>
      <c r="O24" s="84"/>
      <c r="P24" s="84"/>
      <c r="Q24" s="90"/>
      <c r="R24" s="11"/>
    </row>
    <row r="25" spans="2:18" x14ac:dyDescent="0.25">
      <c r="B25" s="15" t="s">
        <v>15</v>
      </c>
      <c r="C25" s="93">
        <v>21.498893168817354</v>
      </c>
      <c r="D25" s="93">
        <v>19.829082725393178</v>
      </c>
      <c r="E25" s="93">
        <v>19.11039693162207</v>
      </c>
      <c r="F25" s="93">
        <v>16.956304701755457</v>
      </c>
      <c r="G25" s="93">
        <v>16.493460569215774</v>
      </c>
      <c r="H25" s="93">
        <v>16.451418637707942</v>
      </c>
      <c r="I25" s="99">
        <f>0.145504*100</f>
        <v>14.5504</v>
      </c>
      <c r="J25" s="96"/>
      <c r="K25" s="84">
        <v>474.524</v>
      </c>
      <c r="L25" s="84">
        <v>448.56299999999999</v>
      </c>
      <c r="M25" s="84">
        <v>442.05099999999999</v>
      </c>
      <c r="N25" s="84">
        <v>400.142</v>
      </c>
      <c r="O25" s="84">
        <v>398.32400000000001</v>
      </c>
      <c r="P25" s="84">
        <v>404.85</v>
      </c>
      <c r="Q25" s="90">
        <f>364478/1000</f>
        <v>364.47800000000001</v>
      </c>
      <c r="R25" s="11"/>
    </row>
    <row r="26" spans="2:18" x14ac:dyDescent="0.25">
      <c r="B26" s="13" t="s">
        <v>16</v>
      </c>
      <c r="C26" s="93">
        <v>25.633539657901721</v>
      </c>
      <c r="D26" s="93">
        <v>23.907597516872244</v>
      </c>
      <c r="E26" s="93">
        <v>18.178678024368566</v>
      </c>
      <c r="F26" s="93">
        <v>16.924480537256308</v>
      </c>
      <c r="G26" s="93">
        <v>13.409497640206672</v>
      </c>
      <c r="H26" s="93">
        <v>12.64806683132308</v>
      </c>
      <c r="I26" s="99">
        <f>0.269976*100</f>
        <v>26.997599999999998</v>
      </c>
      <c r="J26" s="96"/>
      <c r="K26" s="84">
        <v>565.78399999999999</v>
      </c>
      <c r="L26" s="84">
        <v>540.82500000000005</v>
      </c>
      <c r="M26" s="84">
        <v>420.49900000000002</v>
      </c>
      <c r="N26" s="84">
        <v>399.39100000000002</v>
      </c>
      <c r="O26" s="84">
        <v>323.84500000000003</v>
      </c>
      <c r="P26" s="84">
        <v>311.25400000000002</v>
      </c>
      <c r="Q26" s="90">
        <f>676270/1000</f>
        <v>676.27</v>
      </c>
      <c r="R26" s="11"/>
    </row>
    <row r="27" spans="2:18" x14ac:dyDescent="0.25">
      <c r="B27" s="13" t="s">
        <v>17</v>
      </c>
      <c r="C27" s="93">
        <v>77.552394388914109</v>
      </c>
      <c r="D27" s="93">
        <v>73.251119401170655</v>
      </c>
      <c r="E27" s="93">
        <v>71.165003129939166</v>
      </c>
      <c r="F27" s="93">
        <v>72.747116120486027</v>
      </c>
      <c r="G27" s="93">
        <v>67.000615310209923</v>
      </c>
      <c r="H27" s="93">
        <v>69.054306545376818</v>
      </c>
      <c r="I27" s="93">
        <f>0.663677*100</f>
        <v>66.367699999999999</v>
      </c>
      <c r="J27" s="96"/>
      <c r="K27" s="84">
        <v>1711.7380000000001</v>
      </c>
      <c r="L27" s="84">
        <v>1657.048</v>
      </c>
      <c r="M27" s="84">
        <v>1646.1489999999999</v>
      </c>
      <c r="N27" s="84">
        <v>1716.7170000000001</v>
      </c>
      <c r="O27" s="84">
        <v>1618.0930000000001</v>
      </c>
      <c r="P27" s="84">
        <v>1699.345</v>
      </c>
      <c r="Q27" s="90">
        <f>1662464/1000</f>
        <v>1662.4639999999999</v>
      </c>
      <c r="R27" s="11"/>
    </row>
    <row r="28" spans="2:18" x14ac:dyDescent="0.25">
      <c r="B28" s="13" t="s">
        <v>18</v>
      </c>
      <c r="C28" s="93">
        <v>17.390343067829768</v>
      </c>
      <c r="D28" s="93">
        <v>21.69134012953181</v>
      </c>
      <c r="E28" s="93">
        <v>19.41081056778134</v>
      </c>
      <c r="F28" s="93">
        <v>13.412380998388876</v>
      </c>
      <c r="G28" s="93">
        <v>12.325748372078001</v>
      </c>
      <c r="H28" s="93">
        <v>12.281816031812983</v>
      </c>
      <c r="I28" s="93">
        <f>0.0953193*100</f>
        <v>9.5319299999999991</v>
      </c>
      <c r="J28" s="96"/>
      <c r="K28" s="84">
        <v>383.84</v>
      </c>
      <c r="L28" s="84">
        <v>490.69</v>
      </c>
      <c r="M28" s="84">
        <v>449</v>
      </c>
      <c r="N28" s="84">
        <v>316.51100000000002</v>
      </c>
      <c r="O28" s="84">
        <v>297.67200000000003</v>
      </c>
      <c r="P28" s="84">
        <v>302.24099999999999</v>
      </c>
      <c r="Q28" s="90">
        <f>238768/1000</f>
        <v>238.768</v>
      </c>
      <c r="R28" s="11"/>
    </row>
    <row r="29" spans="2:18" x14ac:dyDescent="0.25">
      <c r="B29" s="13" t="s">
        <v>19</v>
      </c>
      <c r="C29" s="93">
        <v>36.709236399749543</v>
      </c>
      <c r="D29" s="93">
        <v>38.886376526370739</v>
      </c>
      <c r="E29" s="93">
        <v>44.69449372801693</v>
      </c>
      <c r="F29" s="93">
        <v>43.940229896747326</v>
      </c>
      <c r="G29" s="93">
        <v>48.792526175528209</v>
      </c>
      <c r="H29" s="93">
        <v>46.005822302735361</v>
      </c>
      <c r="I29" s="93">
        <f>0.429618*100</f>
        <v>42.961799999999997</v>
      </c>
      <c r="J29" s="96"/>
      <c r="K29" s="84">
        <v>810.24699999999996</v>
      </c>
      <c r="L29" s="84">
        <v>879.66700000000003</v>
      </c>
      <c r="M29" s="84">
        <v>1033.848</v>
      </c>
      <c r="N29" s="84">
        <v>1036.92</v>
      </c>
      <c r="O29" s="84">
        <v>1178.3599999999999</v>
      </c>
      <c r="P29" s="84">
        <v>1132.1489999999999</v>
      </c>
      <c r="Q29" s="90">
        <f>1076162/1000</f>
        <v>1076.162</v>
      </c>
      <c r="R29" s="11"/>
    </row>
    <row r="30" spans="2:18" x14ac:dyDescent="0.25">
      <c r="B30" s="13" t="s">
        <v>20</v>
      </c>
      <c r="C30" s="93">
        <v>34.464811104738033</v>
      </c>
      <c r="D30" s="93">
        <v>33.316579338124356</v>
      </c>
      <c r="E30" s="93">
        <v>33.434105269710834</v>
      </c>
      <c r="F30" s="93">
        <v>45.026446685837442</v>
      </c>
      <c r="G30" s="93">
        <v>45.285630643276598</v>
      </c>
      <c r="H30" s="93">
        <v>46.774733611770088</v>
      </c>
      <c r="I30" s="93">
        <f>0.40859*100</f>
        <v>40.859000000000002</v>
      </c>
      <c r="J30" s="96"/>
      <c r="K30" s="84">
        <v>760.70799999999997</v>
      </c>
      <c r="L30" s="84">
        <v>753.67</v>
      </c>
      <c r="M30" s="84">
        <v>773.37900000000002</v>
      </c>
      <c r="N30" s="84">
        <v>1062.5530000000001</v>
      </c>
      <c r="O30" s="84">
        <v>1093.6669999999999</v>
      </c>
      <c r="P30" s="84">
        <v>1151.0709999999999</v>
      </c>
      <c r="Q30" s="90">
        <f>1023489/1000</f>
        <v>1023.489</v>
      </c>
      <c r="R30" s="11"/>
    </row>
    <row r="31" spans="2:18" x14ac:dyDescent="0.25">
      <c r="B31" s="7" t="s">
        <v>21</v>
      </c>
      <c r="C31" s="93"/>
      <c r="D31" s="93"/>
      <c r="E31" s="93"/>
      <c r="F31" s="93"/>
      <c r="G31" s="93"/>
      <c r="H31" s="93"/>
      <c r="I31" s="93"/>
      <c r="J31" s="96"/>
      <c r="K31" s="84"/>
      <c r="L31" s="84"/>
      <c r="M31" s="84"/>
      <c r="N31" s="84"/>
      <c r="O31" s="84"/>
      <c r="P31" s="84"/>
      <c r="Q31" s="90"/>
      <c r="R31" s="11"/>
    </row>
    <row r="32" spans="2:18" ht="15" customHeight="1" x14ac:dyDescent="0.25">
      <c r="B32" s="15" t="s">
        <v>22</v>
      </c>
      <c r="C32" s="93">
        <v>24.888524022721981</v>
      </c>
      <c r="D32" s="93">
        <v>22.379535901070973</v>
      </c>
      <c r="E32" s="93">
        <v>23.624599246739503</v>
      </c>
      <c r="F32" s="93">
        <v>17.871026958584515</v>
      </c>
      <c r="G32" s="93">
        <v>19.569390511634992</v>
      </c>
      <c r="H32" s="93">
        <v>20.817739330857798</v>
      </c>
      <c r="I32" s="93">
        <f>0.233743*100</f>
        <v>23.374300000000002</v>
      </c>
      <c r="J32" s="96"/>
      <c r="K32" s="84">
        <v>549.34</v>
      </c>
      <c r="L32" s="84">
        <v>506.25799999999998</v>
      </c>
      <c r="M32" s="84">
        <v>546.471</v>
      </c>
      <c r="N32" s="84">
        <v>421.72800000000001</v>
      </c>
      <c r="O32" s="84">
        <v>472.60899999999998</v>
      </c>
      <c r="P32" s="84">
        <v>512.29999999999995</v>
      </c>
      <c r="Q32" s="90">
        <f>585509/1000</f>
        <v>585.50900000000001</v>
      </c>
      <c r="R32" s="11"/>
    </row>
    <row r="33" spans="1:18" ht="15" customHeight="1" thickBot="1" x14ac:dyDescent="0.3">
      <c r="A33" s="17"/>
      <c r="B33" s="35" t="s">
        <v>23</v>
      </c>
      <c r="C33" s="94">
        <v>56.615117238929649</v>
      </c>
      <c r="D33" s="94">
        <v>61.227718623060298</v>
      </c>
      <c r="E33" s="94">
        <v>52.695984339928678</v>
      </c>
      <c r="F33" s="94">
        <v>51.919196285175026</v>
      </c>
      <c r="G33" s="94">
        <v>53.445488732701129</v>
      </c>
      <c r="H33" s="94">
        <v>56.171608390812722</v>
      </c>
      <c r="I33" s="97">
        <f>0.567786*100</f>
        <v>56.778600000000004</v>
      </c>
      <c r="J33" s="96"/>
      <c r="K33" s="50">
        <v>1249.6099999999999</v>
      </c>
      <c r="L33" s="50">
        <v>1385.0609999999999</v>
      </c>
      <c r="M33" s="50">
        <v>1218.934</v>
      </c>
      <c r="N33" s="50">
        <v>1225.211</v>
      </c>
      <c r="O33" s="50">
        <v>1290.731</v>
      </c>
      <c r="P33" s="50">
        <v>1382.317</v>
      </c>
      <c r="Q33" s="92">
        <f>1422264/1000</f>
        <v>1422.2639999999999</v>
      </c>
      <c r="R33" s="18"/>
    </row>
    <row r="34" spans="1:18" ht="15.75" thickTop="1" x14ac:dyDescent="0.25">
      <c r="B34" s="19" t="s">
        <v>63</v>
      </c>
    </row>
    <row r="35" spans="1:18" x14ac:dyDescent="0.25">
      <c r="B35" s="19" t="s">
        <v>35</v>
      </c>
    </row>
    <row r="36" spans="1:18" x14ac:dyDescent="0.25">
      <c r="B36" s="27"/>
      <c r="C36" s="27"/>
      <c r="D36" s="29"/>
      <c r="E36" s="29"/>
    </row>
    <row r="37" spans="1:18" x14ac:dyDescent="0.25">
      <c r="B37" s="27"/>
      <c r="C37" s="28"/>
      <c r="D37" s="29"/>
      <c r="E37" s="29"/>
    </row>
    <row r="38" spans="1:18" x14ac:dyDescent="0.25">
      <c r="B38" s="80"/>
      <c r="C38" s="80"/>
      <c r="D38" s="80"/>
      <c r="E38" s="80"/>
    </row>
    <row r="39" spans="1:18" x14ac:dyDescent="0.25">
      <c r="B39" s="80"/>
      <c r="C39" s="80"/>
      <c r="D39" s="80"/>
      <c r="E39" s="80"/>
    </row>
  </sheetData>
  <mergeCells count="9">
    <mergeCell ref="B4:R4"/>
    <mergeCell ref="B9:R9"/>
    <mergeCell ref="B10:R10"/>
    <mergeCell ref="B38:E38"/>
    <mergeCell ref="B39:E39"/>
    <mergeCell ref="C12:I12"/>
    <mergeCell ref="K12:Q12"/>
    <mergeCell ref="B11:B13"/>
    <mergeCell ref="C11:R11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8A86F-9F3D-40B7-BB35-1803A67AF158}">
  <dimension ref="A4:R39"/>
  <sheetViews>
    <sheetView topLeftCell="B1" workbookViewId="0">
      <selection activeCell="B4" sqref="B4:R4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8.5703125" style="2" bestFit="1" customWidth="1"/>
    <col min="10" max="10" width="0.85546875" style="2" customWidth="1"/>
    <col min="11" max="16" width="10.5703125" style="2" customWidth="1"/>
    <col min="17" max="17" width="10.4257812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customHeight="1" x14ac:dyDescent="0.25">
      <c r="A9" s="1"/>
      <c r="B9" s="70" t="s">
        <v>67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36">
        <v>33.840678227360307</v>
      </c>
      <c r="D15" s="36">
        <v>38.951186012621676</v>
      </c>
      <c r="E15" s="36">
        <v>38.359426753375189</v>
      </c>
      <c r="F15" s="36">
        <v>37.923559933985366</v>
      </c>
      <c r="G15" s="36">
        <v>32.162231478385586</v>
      </c>
      <c r="H15" s="36">
        <v>35.070260608529516</v>
      </c>
      <c r="I15" s="53">
        <f>0.357655*100</f>
        <v>35.765500000000003</v>
      </c>
      <c r="K15" s="38">
        <v>1097.7070000000001</v>
      </c>
      <c r="L15" s="38">
        <v>1301.6980000000001</v>
      </c>
      <c r="M15" s="38">
        <v>1315.624</v>
      </c>
      <c r="N15" s="38">
        <v>1330.7070000000001</v>
      </c>
      <c r="O15" s="38">
        <v>1156.22</v>
      </c>
      <c r="P15" s="38">
        <v>1287.895</v>
      </c>
      <c r="Q15" s="11">
        <f>1339842/1000</f>
        <v>1339.8420000000001</v>
      </c>
      <c r="R15" s="11"/>
    </row>
    <row r="16" spans="1:18" ht="15" customHeight="1" x14ac:dyDescent="0.25">
      <c r="B16" s="10" t="s">
        <v>6</v>
      </c>
      <c r="C16" s="36">
        <v>28.995606936416184</v>
      </c>
      <c r="D16" s="36">
        <v>33.463988724875591</v>
      </c>
      <c r="E16" s="36">
        <v>33.689668685096898</v>
      </c>
      <c r="F16" s="36">
        <v>33.602998530316604</v>
      </c>
      <c r="G16" s="36">
        <v>29.280476400028704</v>
      </c>
      <c r="H16" s="36">
        <v>31.75323663899303</v>
      </c>
      <c r="I16" s="53">
        <f>0.31961*100</f>
        <v>31.961000000000002</v>
      </c>
      <c r="K16" s="38">
        <v>940.54499999999996</v>
      </c>
      <c r="L16" s="38">
        <v>1118.3230000000001</v>
      </c>
      <c r="M16" s="38">
        <v>1155.4639999999999</v>
      </c>
      <c r="N16" s="38">
        <v>1179.1020000000001</v>
      </c>
      <c r="O16" s="38">
        <v>1052.6220000000001</v>
      </c>
      <c r="P16" s="38">
        <v>1166.0830000000001</v>
      </c>
      <c r="Q16" s="11">
        <f>1197316/1000</f>
        <v>1197.316</v>
      </c>
      <c r="R16" s="11"/>
    </row>
    <row r="17" spans="2:18" ht="15" customHeight="1" x14ac:dyDescent="0.25">
      <c r="B17" s="10" t="s">
        <v>7</v>
      </c>
      <c r="C17" s="36">
        <v>4.8450712909441229</v>
      </c>
      <c r="D17" s="36">
        <v>5.4871972877460822</v>
      </c>
      <c r="E17" s="36">
        <v>4.6697580682783002</v>
      </c>
      <c r="F17" s="36">
        <v>4.3205614036687647</v>
      </c>
      <c r="G17" s="36">
        <v>2.8817550783568784</v>
      </c>
      <c r="H17" s="36">
        <v>3.31702396953649</v>
      </c>
      <c r="I17" s="53">
        <f>0.0380456*100</f>
        <v>3.8045599999999999</v>
      </c>
      <c r="K17" s="38">
        <v>157.16200000000001</v>
      </c>
      <c r="L17" s="38">
        <v>183.375</v>
      </c>
      <c r="M17" s="38">
        <v>160.16</v>
      </c>
      <c r="N17" s="38">
        <v>151.60499999999999</v>
      </c>
      <c r="O17" s="38">
        <v>103.598</v>
      </c>
      <c r="P17" s="38">
        <v>121.812</v>
      </c>
      <c r="Q17" s="11">
        <f>142526/1000</f>
        <v>142.52600000000001</v>
      </c>
      <c r="R17" s="11"/>
    </row>
    <row r="18" spans="2:18" ht="15" customHeight="1" x14ac:dyDescent="0.25">
      <c r="B18" s="10" t="s">
        <v>8</v>
      </c>
      <c r="C18" s="36">
        <v>33.083005780346816</v>
      </c>
      <c r="D18" s="36">
        <v>26.901794504274552</v>
      </c>
      <c r="E18" s="36">
        <v>26.785535179466123</v>
      </c>
      <c r="F18" s="36">
        <v>24.367504636043179</v>
      </c>
      <c r="G18" s="36">
        <v>28.568340917094531</v>
      </c>
      <c r="H18" s="36">
        <v>25.689698741506749</v>
      </c>
      <c r="I18" s="53">
        <f>0.23587*100</f>
        <v>23.587</v>
      </c>
      <c r="K18" s="38">
        <v>1073.1300000000001</v>
      </c>
      <c r="L18" s="38">
        <v>899.02300000000002</v>
      </c>
      <c r="M18" s="38">
        <v>918.67100000000005</v>
      </c>
      <c r="N18" s="38">
        <v>855.03599999999994</v>
      </c>
      <c r="O18" s="38">
        <v>1027.021</v>
      </c>
      <c r="P18" s="38">
        <v>943.41</v>
      </c>
      <c r="Q18" s="11">
        <f>883611/1000</f>
        <v>883.61099999999999</v>
      </c>
      <c r="R18" s="11"/>
    </row>
    <row r="19" spans="2:18" ht="15" customHeight="1" x14ac:dyDescent="0.25">
      <c r="B19" s="10" t="s">
        <v>9</v>
      </c>
      <c r="C19" s="36">
        <v>7.8362080924855482</v>
      </c>
      <c r="D19" s="36">
        <v>9.3609266668063089</v>
      </c>
      <c r="E19" s="36">
        <v>8.8354528405751136</v>
      </c>
      <c r="F19" s="36">
        <v>11.222202621377125</v>
      </c>
      <c r="G19" s="36">
        <v>10.093903635142736</v>
      </c>
      <c r="H19" s="36">
        <v>13.216548195041403</v>
      </c>
      <c r="I19" s="53">
        <f>0.126255*100</f>
        <v>12.625500000000001</v>
      </c>
      <c r="K19" s="38">
        <v>254.18700000000001</v>
      </c>
      <c r="L19" s="38">
        <v>312.83</v>
      </c>
      <c r="M19" s="38">
        <v>303.03199999999998</v>
      </c>
      <c r="N19" s="38">
        <v>393.77800000000002</v>
      </c>
      <c r="O19" s="38">
        <v>362.87200000000001</v>
      </c>
      <c r="P19" s="38">
        <v>485.35500000000002</v>
      </c>
      <c r="Q19" s="11">
        <f>472974/1000</f>
        <v>472.97399999999999</v>
      </c>
      <c r="R19" s="11"/>
    </row>
    <row r="20" spans="2:18" ht="15" customHeight="1" x14ac:dyDescent="0.25">
      <c r="B20" s="10" t="s">
        <v>10</v>
      </c>
      <c r="C20" s="36">
        <v>25.240107899807324</v>
      </c>
      <c r="D20" s="36">
        <v>24.786092816297462</v>
      </c>
      <c r="E20" s="36">
        <v>26.019585226583565</v>
      </c>
      <c r="F20" s="36">
        <v>26.486732808594326</v>
      </c>
      <c r="G20" s="36">
        <v>29.175523969377142</v>
      </c>
      <c r="H20" s="36">
        <v>26.023492454922327</v>
      </c>
      <c r="I20" s="53">
        <f>0.28022*100</f>
        <v>28.022000000000002</v>
      </c>
      <c r="K20" s="38">
        <v>818.726</v>
      </c>
      <c r="L20" s="38">
        <v>828.31899999999996</v>
      </c>
      <c r="M20" s="38">
        <v>892.40099999999995</v>
      </c>
      <c r="N20" s="38">
        <v>929.39800000000002</v>
      </c>
      <c r="O20" s="38">
        <v>1048.8489999999999</v>
      </c>
      <c r="P20" s="38">
        <v>955.66800000000001</v>
      </c>
      <c r="Q20" s="11">
        <f>1049757/1000</f>
        <v>1049.7570000000001</v>
      </c>
      <c r="R20" s="11"/>
    </row>
    <row r="21" spans="2:18" x14ac:dyDescent="0.25">
      <c r="B21" s="12" t="s">
        <v>11</v>
      </c>
      <c r="C21" s="36"/>
      <c r="D21" s="36"/>
      <c r="E21" s="36"/>
      <c r="F21" s="36"/>
      <c r="G21" s="36"/>
      <c r="H21" s="36"/>
      <c r="I21" s="53"/>
      <c r="K21" s="38"/>
      <c r="L21" s="38"/>
      <c r="M21" s="38"/>
      <c r="N21" s="38"/>
      <c r="O21" s="38"/>
      <c r="P21" s="38"/>
      <c r="Q21" s="11"/>
      <c r="R21" s="11"/>
    </row>
    <row r="22" spans="2:18" x14ac:dyDescent="0.25">
      <c r="B22" s="13" t="s">
        <v>12</v>
      </c>
      <c r="C22" s="36">
        <v>66.923684007707124</v>
      </c>
      <c r="D22" s="36">
        <v>65.852980516896224</v>
      </c>
      <c r="E22" s="36">
        <v>65.144961932841312</v>
      </c>
      <c r="F22" s="36">
        <v>62.291064570028546</v>
      </c>
      <c r="G22" s="36">
        <v>60.730572395480124</v>
      </c>
      <c r="H22" s="36">
        <v>60.759959350036276</v>
      </c>
      <c r="I22" s="53">
        <f>0.593525*100</f>
        <v>59.352499999999999</v>
      </c>
      <c r="K22" s="38">
        <v>2170.837</v>
      </c>
      <c r="L22" s="38">
        <v>2200.721</v>
      </c>
      <c r="M22" s="38">
        <v>2234.2950000000001</v>
      </c>
      <c r="N22" s="38">
        <v>2185.7429999999999</v>
      </c>
      <c r="O22" s="38">
        <v>2183.241</v>
      </c>
      <c r="P22" s="38">
        <v>2231.3049999999998</v>
      </c>
      <c r="Q22" s="11">
        <f>2223453/1000</f>
        <v>2223.453</v>
      </c>
      <c r="R22" s="11"/>
    </row>
    <row r="23" spans="2:18" x14ac:dyDescent="0.25">
      <c r="B23" s="13" t="s">
        <v>13</v>
      </c>
      <c r="C23" s="36">
        <v>17.121078998073216</v>
      </c>
      <c r="D23" s="36">
        <v>15.39048496799696</v>
      </c>
      <c r="E23" s="36">
        <v>14.331515502103956</v>
      </c>
      <c r="F23" s="36">
        <v>12.719700853738717</v>
      </c>
      <c r="G23" s="36">
        <v>10.09395926855416</v>
      </c>
      <c r="H23" s="36">
        <v>9.7606477417049895</v>
      </c>
      <c r="I23" s="53">
        <f>0.101571*100</f>
        <v>10.1571</v>
      </c>
      <c r="K23" s="38">
        <v>555.36500000000001</v>
      </c>
      <c r="L23" s="38">
        <v>514.33000000000004</v>
      </c>
      <c r="M23" s="38">
        <v>491.53199999999998</v>
      </c>
      <c r="N23" s="38">
        <v>446.32400000000001</v>
      </c>
      <c r="O23" s="38">
        <v>362.87400000000002</v>
      </c>
      <c r="P23" s="38">
        <v>358.44299999999998</v>
      </c>
      <c r="Q23" s="11">
        <f>380504/1000</f>
        <v>380.50400000000002</v>
      </c>
      <c r="R23" s="11"/>
    </row>
    <row r="24" spans="2:18" x14ac:dyDescent="0.25">
      <c r="B24" s="14" t="s">
        <v>14</v>
      </c>
      <c r="C24" s="36"/>
      <c r="D24" s="36"/>
      <c r="E24" s="36"/>
      <c r="F24" s="36"/>
      <c r="G24" s="36"/>
      <c r="H24" s="36"/>
      <c r="I24" s="53"/>
      <c r="K24" s="38"/>
      <c r="L24" s="38"/>
      <c r="M24" s="38"/>
      <c r="N24" s="38"/>
      <c r="O24" s="38"/>
      <c r="P24" s="38"/>
      <c r="Q24" s="11"/>
      <c r="R24" s="11"/>
    </row>
    <row r="25" spans="2:18" x14ac:dyDescent="0.25">
      <c r="B25" s="15" t="s">
        <v>15</v>
      </c>
      <c r="C25" s="36">
        <v>17.342736030828515</v>
      </c>
      <c r="D25" s="36">
        <v>14.353700173854758</v>
      </c>
      <c r="E25" s="36">
        <v>15.485688661025016</v>
      </c>
      <c r="F25" s="36">
        <v>15.958846584945391</v>
      </c>
      <c r="G25" s="36">
        <v>14.323016488074144</v>
      </c>
      <c r="H25" s="36">
        <v>14.39092586500988</v>
      </c>
      <c r="I25" s="53">
        <f>0.134252*100</f>
        <v>13.4252</v>
      </c>
      <c r="K25" s="38">
        <v>562.55499999999995</v>
      </c>
      <c r="L25" s="38">
        <v>479.68200000000002</v>
      </c>
      <c r="M25" s="38">
        <v>531.11699999999996</v>
      </c>
      <c r="N25" s="38">
        <v>559.98299999999995</v>
      </c>
      <c r="O25" s="38">
        <v>514.90700000000004</v>
      </c>
      <c r="P25" s="38">
        <v>528.48199999999997</v>
      </c>
      <c r="Q25" s="11">
        <f>502932/1000</f>
        <v>502.93200000000002</v>
      </c>
      <c r="R25" s="11"/>
    </row>
    <row r="26" spans="2:18" x14ac:dyDescent="0.25">
      <c r="B26" s="13" t="s">
        <v>16</v>
      </c>
      <c r="C26" s="36">
        <v>23.933718689788051</v>
      </c>
      <c r="D26" s="36">
        <v>20.948810097340711</v>
      </c>
      <c r="E26" s="36">
        <v>15.759646245999685</v>
      </c>
      <c r="F26" s="36">
        <v>15.022689323976984</v>
      </c>
      <c r="G26" s="36">
        <v>12.754515903088823</v>
      </c>
      <c r="H26" s="36">
        <v>11.981255486982645</v>
      </c>
      <c r="I26" s="53">
        <f>0.195526*100</f>
        <v>19.552600000000002</v>
      </c>
      <c r="K26" s="38">
        <v>776.35</v>
      </c>
      <c r="L26" s="38">
        <v>700.08199999999999</v>
      </c>
      <c r="M26" s="38">
        <v>540.51300000000003</v>
      </c>
      <c r="N26" s="38">
        <v>527.13400000000001</v>
      </c>
      <c r="O26" s="38">
        <v>458.52</v>
      </c>
      <c r="P26" s="38">
        <v>439.99099999999999</v>
      </c>
      <c r="Q26" s="11">
        <f>732475/1000</f>
        <v>732.47500000000002</v>
      </c>
      <c r="R26" s="11"/>
    </row>
    <row r="27" spans="2:18" x14ac:dyDescent="0.25">
      <c r="B27" s="13" t="s">
        <v>17</v>
      </c>
      <c r="C27" s="36">
        <v>55.194820809248554</v>
      </c>
      <c r="D27" s="36">
        <v>51.110545891970659</v>
      </c>
      <c r="E27" s="36">
        <v>50.601388798178746</v>
      </c>
      <c r="F27" s="36">
        <v>45.521882950276137</v>
      </c>
      <c r="G27" s="36">
        <v>42.305036882170107</v>
      </c>
      <c r="H27" s="36">
        <v>43.362439302807374</v>
      </c>
      <c r="I27" s="53">
        <f>0.44462*100</f>
        <v>44.462000000000003</v>
      </c>
      <c r="K27" s="38">
        <v>1790.3820000000001</v>
      </c>
      <c r="L27" s="38">
        <v>1708.048</v>
      </c>
      <c r="M27" s="38">
        <v>1735.49</v>
      </c>
      <c r="N27" s="38">
        <v>1597.326</v>
      </c>
      <c r="O27" s="38">
        <v>1520.85</v>
      </c>
      <c r="P27" s="38">
        <v>1592.4110000000001</v>
      </c>
      <c r="Q27" s="11">
        <f>1665627/1000</f>
        <v>1665.627</v>
      </c>
      <c r="R27" s="11"/>
    </row>
    <row r="28" spans="2:18" x14ac:dyDescent="0.25">
      <c r="B28" s="13" t="s">
        <v>18</v>
      </c>
      <c r="C28" s="36">
        <v>12.341795761078998</v>
      </c>
      <c r="D28" s="36">
        <v>9.5603359795563563</v>
      </c>
      <c r="E28" s="36">
        <v>10.528531708636953</v>
      </c>
      <c r="F28" s="36">
        <v>8.2103063650087105</v>
      </c>
      <c r="G28" s="36">
        <v>6.4263544371261778</v>
      </c>
      <c r="H28" s="36">
        <v>7.6953910435015604</v>
      </c>
      <c r="I28" s="53">
        <f>0.0559372*100</f>
        <v>5.5937200000000002</v>
      </c>
      <c r="K28" s="38">
        <v>400.33699999999999</v>
      </c>
      <c r="L28" s="38">
        <v>319.49400000000003</v>
      </c>
      <c r="M28" s="38">
        <v>361.1</v>
      </c>
      <c r="N28" s="38">
        <v>288.09300000000002</v>
      </c>
      <c r="O28" s="38">
        <v>231.02500000000001</v>
      </c>
      <c r="P28" s="38">
        <v>282.60000000000002</v>
      </c>
      <c r="Q28" s="11">
        <f>209551/1000</f>
        <v>209.55099999999999</v>
      </c>
      <c r="R28" s="11"/>
    </row>
    <row r="29" spans="2:18" x14ac:dyDescent="0.25">
      <c r="B29" s="13" t="s">
        <v>19</v>
      </c>
      <c r="C29" s="36">
        <v>13.049495183044316</v>
      </c>
      <c r="D29" s="36">
        <v>16.452884163656876</v>
      </c>
      <c r="E29" s="36">
        <v>10.630813872120472</v>
      </c>
      <c r="F29" s="36">
        <v>11.493140765004835</v>
      </c>
      <c r="G29" s="36">
        <v>9.7451934123364872</v>
      </c>
      <c r="H29" s="36">
        <v>8.8931871009343393</v>
      </c>
      <c r="I29" s="53">
        <f>0.0807862*100</f>
        <v>8.0786200000000008</v>
      </c>
      <c r="K29" s="38">
        <v>423.29300000000001</v>
      </c>
      <c r="L29" s="38">
        <v>549.83399999999995</v>
      </c>
      <c r="M29" s="38">
        <v>364.608</v>
      </c>
      <c r="N29" s="38">
        <v>403.28500000000003</v>
      </c>
      <c r="O29" s="38">
        <v>350.33600000000001</v>
      </c>
      <c r="P29" s="38">
        <v>326.58699999999999</v>
      </c>
      <c r="Q29" s="11">
        <f>302640/1000</f>
        <v>302.64</v>
      </c>
      <c r="R29" s="11"/>
    </row>
    <row r="30" spans="2:18" x14ac:dyDescent="0.25">
      <c r="B30" s="13" t="s">
        <v>20</v>
      </c>
      <c r="C30" s="36">
        <v>11.791260115606935</v>
      </c>
      <c r="D30" s="36">
        <v>13.614503257158416</v>
      </c>
      <c r="E30" s="36">
        <v>19.163473021767324</v>
      </c>
      <c r="F30" s="36">
        <v>19.508030820888141</v>
      </c>
      <c r="G30" s="36">
        <v>19.243902995358507</v>
      </c>
      <c r="H30" s="36">
        <v>16.732383381876563</v>
      </c>
      <c r="I30" s="53">
        <f>0.138999*100</f>
        <v>13.899900000000001</v>
      </c>
      <c r="K30" s="38">
        <v>382.47899999999998</v>
      </c>
      <c r="L30" s="38">
        <v>454.97899999999998</v>
      </c>
      <c r="M30" s="38">
        <v>657.255</v>
      </c>
      <c r="N30" s="38">
        <v>684.52099999999996</v>
      </c>
      <c r="O30" s="38">
        <v>691.81100000000004</v>
      </c>
      <c r="P30" s="38">
        <v>614.46799999999996</v>
      </c>
      <c r="Q30" s="11">
        <f>520716/1000</f>
        <v>520.71600000000001</v>
      </c>
      <c r="R30" s="11"/>
    </row>
    <row r="31" spans="2:18" x14ac:dyDescent="0.25">
      <c r="B31" s="7" t="s">
        <v>21</v>
      </c>
      <c r="C31" s="36"/>
      <c r="D31" s="36"/>
      <c r="E31" s="36"/>
      <c r="F31" s="36"/>
      <c r="G31" s="36"/>
      <c r="H31" s="36"/>
      <c r="I31" s="53"/>
      <c r="K31" s="38"/>
      <c r="L31" s="38"/>
      <c r="M31" s="38"/>
      <c r="N31" s="38"/>
      <c r="O31" s="38"/>
      <c r="P31" s="38"/>
      <c r="Q31" s="11"/>
      <c r="R31" s="11"/>
    </row>
    <row r="32" spans="2:18" ht="15" customHeight="1" x14ac:dyDescent="0.25">
      <c r="B32" s="15" t="s">
        <v>22</v>
      </c>
      <c r="C32" s="36">
        <v>12.436500963391136</v>
      </c>
      <c r="D32" s="36">
        <v>14.484076280645267</v>
      </c>
      <c r="E32" s="36">
        <v>14.872024836954999</v>
      </c>
      <c r="F32" s="36">
        <v>16.140497971027546</v>
      </c>
      <c r="G32" s="36">
        <v>12.063966183787201</v>
      </c>
      <c r="H32" s="36">
        <v>15.12661723026919</v>
      </c>
      <c r="I32" s="53">
        <f>0.151694*100</f>
        <v>15.1694</v>
      </c>
      <c r="K32" s="38">
        <v>403.40899999999999</v>
      </c>
      <c r="L32" s="38">
        <v>484.03899999999999</v>
      </c>
      <c r="M32" s="38">
        <v>510.07</v>
      </c>
      <c r="N32" s="38">
        <v>566.35699999999997</v>
      </c>
      <c r="O32" s="38">
        <v>433.69499999999999</v>
      </c>
      <c r="P32" s="38">
        <v>555.49900000000002</v>
      </c>
      <c r="Q32" s="11">
        <f>568272/1000</f>
        <v>568.27200000000005</v>
      </c>
      <c r="R32" s="11"/>
    </row>
    <row r="33" spans="1:18" ht="15" customHeight="1" thickBot="1" x14ac:dyDescent="0.3">
      <c r="A33" s="17"/>
      <c r="B33" s="35" t="s">
        <v>23</v>
      </c>
      <c r="C33" s="37">
        <v>41.676886319845856</v>
      </c>
      <c r="D33" s="37">
        <v>48.31211267942799</v>
      </c>
      <c r="E33" s="37">
        <v>47.194879593950304</v>
      </c>
      <c r="F33" s="37">
        <v>49.145762555362495</v>
      </c>
      <c r="G33" s="37">
        <v>42.256135113528323</v>
      </c>
      <c r="H33" s="37">
        <v>48.286808803570921</v>
      </c>
      <c r="I33" s="58">
        <f>0.48391*100</f>
        <v>48.390999999999998</v>
      </c>
      <c r="K33" s="39">
        <v>1351.894</v>
      </c>
      <c r="L33" s="39">
        <v>1614.528</v>
      </c>
      <c r="M33" s="39">
        <v>1618.6559999999999</v>
      </c>
      <c r="N33" s="39">
        <v>1724.4849999999999</v>
      </c>
      <c r="O33" s="39">
        <v>1519.0920000000001</v>
      </c>
      <c r="P33" s="39">
        <v>1773.25</v>
      </c>
      <c r="Q33" s="18">
        <f>1812816/1000</f>
        <v>1812.816</v>
      </c>
      <c r="R33" s="18"/>
    </row>
    <row r="34" spans="1:18" ht="15.75" thickTop="1" x14ac:dyDescent="0.25">
      <c r="B34" s="19" t="s">
        <v>63</v>
      </c>
    </row>
    <row r="35" spans="1:18" x14ac:dyDescent="0.25">
      <c r="B35" s="19" t="s">
        <v>35</v>
      </c>
    </row>
    <row r="36" spans="1:18" x14ac:dyDescent="0.25">
      <c r="B36" s="27"/>
      <c r="C36" s="27"/>
      <c r="D36" s="95"/>
      <c r="E36" s="95"/>
    </row>
    <row r="37" spans="1:18" x14ac:dyDescent="0.25">
      <c r="B37" s="27"/>
      <c r="C37" s="28"/>
      <c r="D37" s="95"/>
      <c r="E37" s="95"/>
    </row>
    <row r="38" spans="1:18" x14ac:dyDescent="0.25">
      <c r="B38" s="80"/>
      <c r="C38" s="80"/>
      <c r="D38" s="80"/>
      <c r="E38" s="80"/>
    </row>
    <row r="39" spans="1:18" x14ac:dyDescent="0.25">
      <c r="B39" s="80"/>
      <c r="C39" s="80"/>
      <c r="D39" s="80"/>
      <c r="E39" s="80"/>
    </row>
  </sheetData>
  <mergeCells count="9">
    <mergeCell ref="B4:R4"/>
    <mergeCell ref="B9:R9"/>
    <mergeCell ref="B10:R10"/>
    <mergeCell ref="B38:E38"/>
    <mergeCell ref="B39:E39"/>
    <mergeCell ref="C12:I12"/>
    <mergeCell ref="K12:Q12"/>
    <mergeCell ref="B11:B13"/>
    <mergeCell ref="C11:R1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099EE-52C1-4FD2-93D3-BE15FFC72063}">
  <dimension ref="A4:R39"/>
  <sheetViews>
    <sheetView topLeftCell="G1" workbookViewId="0">
      <selection activeCell="B4" sqref="B4:R4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8.5703125" style="2" bestFit="1" customWidth="1"/>
    <col min="10" max="10" width="0.85546875" style="2" customWidth="1"/>
    <col min="11" max="16" width="10.5703125" style="2" customWidth="1"/>
    <col min="17" max="17" width="10.4257812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customHeight="1" x14ac:dyDescent="0.25">
      <c r="A9" s="1"/>
      <c r="B9" s="70" t="s">
        <v>68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2">
        <v>2008</v>
      </c>
      <c r="D13" s="22">
        <v>2010</v>
      </c>
      <c r="E13" s="22">
        <v>2012</v>
      </c>
      <c r="F13" s="22">
        <v>2014</v>
      </c>
      <c r="G13" s="22">
        <v>2016</v>
      </c>
      <c r="H13" s="22">
        <v>2018</v>
      </c>
      <c r="I13" s="22">
        <v>2020</v>
      </c>
      <c r="J13" s="56"/>
      <c r="K13" s="22">
        <v>2008</v>
      </c>
      <c r="L13" s="22">
        <v>2010</v>
      </c>
      <c r="M13" s="22">
        <v>2012</v>
      </c>
      <c r="N13" s="22">
        <v>2014</v>
      </c>
      <c r="O13" s="22">
        <v>2016</v>
      </c>
      <c r="P13" s="22">
        <v>2018</v>
      </c>
      <c r="Q13" s="22">
        <v>2020</v>
      </c>
      <c r="R13" s="6"/>
    </row>
    <row r="14" spans="1:18" ht="15" customHeight="1" x14ac:dyDescent="0.25">
      <c r="B14" s="7" t="s">
        <v>4</v>
      </c>
      <c r="C14" s="54"/>
      <c r="D14" s="54"/>
      <c r="E14" s="54"/>
      <c r="F14" s="54"/>
      <c r="G14" s="54"/>
      <c r="H14" s="54"/>
      <c r="I14" s="54"/>
      <c r="J14" s="55"/>
      <c r="K14" s="54"/>
      <c r="L14" s="54"/>
      <c r="M14" s="54"/>
      <c r="N14" s="54"/>
      <c r="O14" s="54"/>
      <c r="P14" s="54"/>
      <c r="Q14" s="54"/>
      <c r="R14" s="9"/>
    </row>
    <row r="15" spans="1:18" ht="15" customHeight="1" x14ac:dyDescent="0.25">
      <c r="B15" s="10" t="s">
        <v>5</v>
      </c>
      <c r="C15" s="93">
        <v>59.577968204246822</v>
      </c>
      <c r="D15" s="93">
        <v>60.312902400456345</v>
      </c>
      <c r="E15" s="93">
        <v>57.879434377073281</v>
      </c>
      <c r="F15" s="93">
        <v>58.927588541205346</v>
      </c>
      <c r="G15" s="93">
        <v>53.945662058685841</v>
      </c>
      <c r="H15" s="93">
        <v>48.378749523337902</v>
      </c>
      <c r="I15" s="93">
        <f>0.582833*100</f>
        <v>58.283300000000004</v>
      </c>
      <c r="J15" s="96"/>
      <c r="K15" s="84">
        <v>687.74900000000002</v>
      </c>
      <c r="L15" s="84">
        <v>718.96900000000005</v>
      </c>
      <c r="M15" s="84">
        <v>711.88</v>
      </c>
      <c r="N15" s="84">
        <v>745.13699999999994</v>
      </c>
      <c r="O15" s="84">
        <v>701.75699999999995</v>
      </c>
      <c r="P15" s="84">
        <v>645.76099999999997</v>
      </c>
      <c r="Q15" s="90">
        <f>797310/1000</f>
        <v>797.31</v>
      </c>
      <c r="R15" s="11"/>
    </row>
    <row r="16" spans="1:18" ht="15" customHeight="1" x14ac:dyDescent="0.25">
      <c r="B16" s="10" t="s">
        <v>6</v>
      </c>
      <c r="C16" s="93">
        <v>50.056567749625771</v>
      </c>
      <c r="D16" s="93">
        <v>50.39809070814092</v>
      </c>
      <c r="E16" s="93">
        <v>48.753349767792798</v>
      </c>
      <c r="F16" s="93">
        <v>52.392415634371325</v>
      </c>
      <c r="G16" s="93">
        <v>48.201457652212881</v>
      </c>
      <c r="H16" s="93">
        <v>45.25117189577788</v>
      </c>
      <c r="I16" s="93">
        <f>0.494361*100</f>
        <v>49.436099999999996</v>
      </c>
      <c r="J16" s="96"/>
      <c r="K16" s="84">
        <v>577.83699999999999</v>
      </c>
      <c r="L16" s="84">
        <v>600.77800000000002</v>
      </c>
      <c r="M16" s="84">
        <v>599.63499999999999</v>
      </c>
      <c r="N16" s="84">
        <v>662.5</v>
      </c>
      <c r="O16" s="84">
        <v>627.03300000000002</v>
      </c>
      <c r="P16" s="84">
        <v>604.01400000000001</v>
      </c>
      <c r="Q16" s="90">
        <f>676281/1000</f>
        <v>676.28099999999995</v>
      </c>
      <c r="R16" s="11"/>
    </row>
    <row r="17" spans="2:18" ht="15" customHeight="1" x14ac:dyDescent="0.25">
      <c r="B17" s="10" t="s">
        <v>7</v>
      </c>
      <c r="C17" s="93">
        <v>9.5214004546210571</v>
      </c>
      <c r="D17" s="93">
        <v>9.9148116923154355</v>
      </c>
      <c r="E17" s="93">
        <v>9.1260846092804826</v>
      </c>
      <c r="F17" s="93">
        <v>6.5351729068340276</v>
      </c>
      <c r="G17" s="93">
        <v>5.7442044064729538</v>
      </c>
      <c r="H17" s="93">
        <v>3.1275776275600222</v>
      </c>
      <c r="I17" s="93">
        <f>0.0884721*100</f>
        <v>8.8472100000000005</v>
      </c>
      <c r="J17" s="96"/>
      <c r="K17" s="84">
        <v>109.91200000000001</v>
      </c>
      <c r="L17" s="84">
        <v>118.191</v>
      </c>
      <c r="M17" s="84">
        <v>112.245</v>
      </c>
      <c r="N17" s="84">
        <v>82.637</v>
      </c>
      <c r="O17" s="84">
        <v>74.724000000000004</v>
      </c>
      <c r="P17" s="84">
        <v>41.747</v>
      </c>
      <c r="Q17" s="90">
        <f>121029/1000</f>
        <v>121.029</v>
      </c>
      <c r="R17" s="11"/>
    </row>
    <row r="18" spans="2:18" ht="15" customHeight="1" x14ac:dyDescent="0.25">
      <c r="B18" s="10" t="s">
        <v>8</v>
      </c>
      <c r="C18" s="93">
        <v>23.575497588290737</v>
      </c>
      <c r="D18" s="93">
        <v>19.341227198181308</v>
      </c>
      <c r="E18" s="93">
        <v>23.923765138999105</v>
      </c>
      <c r="F18" s="93">
        <v>22.561320874087386</v>
      </c>
      <c r="G18" s="93">
        <v>24.423246485591442</v>
      </c>
      <c r="H18" s="93">
        <v>28.614784353945865</v>
      </c>
      <c r="I18" s="93">
        <f>0.208484*100</f>
        <v>20.848400000000002</v>
      </c>
      <c r="J18" s="96"/>
      <c r="K18" s="84">
        <v>272.14800000000002</v>
      </c>
      <c r="L18" s="84">
        <v>230.56</v>
      </c>
      <c r="M18" s="84">
        <v>294.24700000000001</v>
      </c>
      <c r="N18" s="84">
        <v>285.28699999999998</v>
      </c>
      <c r="O18" s="84">
        <v>317.71199999999999</v>
      </c>
      <c r="P18" s="84">
        <v>381.95100000000002</v>
      </c>
      <c r="Q18" s="90">
        <f>285204/1000</f>
        <v>285.20400000000001</v>
      </c>
      <c r="R18" s="11"/>
    </row>
    <row r="19" spans="2:18" ht="15" customHeight="1" x14ac:dyDescent="0.25">
      <c r="B19" s="10" t="s">
        <v>9</v>
      </c>
      <c r="C19" s="93">
        <v>5.5888590120308255</v>
      </c>
      <c r="D19" s="93">
        <v>7.3754367421239611</v>
      </c>
      <c r="E19" s="93">
        <v>6.0340538044255956</v>
      </c>
      <c r="F19" s="93">
        <v>7.6619459452619862</v>
      </c>
      <c r="G19" s="93">
        <v>8.2498564410132076</v>
      </c>
      <c r="H19" s="93">
        <v>7.6359582650024018</v>
      </c>
      <c r="I19" s="93">
        <f>0.0820371*100</f>
        <v>8.2037100000000009</v>
      </c>
      <c r="J19" s="96"/>
      <c r="K19" s="84">
        <v>64.516000000000005</v>
      </c>
      <c r="L19" s="84">
        <v>87.92</v>
      </c>
      <c r="M19" s="84">
        <v>74.215000000000003</v>
      </c>
      <c r="N19" s="84">
        <v>96.885000000000005</v>
      </c>
      <c r="O19" s="84">
        <v>107.319</v>
      </c>
      <c r="P19" s="84">
        <v>101.925</v>
      </c>
      <c r="Q19" s="90">
        <f>1122262/1000</f>
        <v>1122.2619999999999</v>
      </c>
      <c r="R19" s="11"/>
    </row>
    <row r="20" spans="2:18" ht="15" customHeight="1" x14ac:dyDescent="0.25">
      <c r="B20" s="10" t="s">
        <v>10</v>
      </c>
      <c r="C20" s="93">
        <v>11.257675195431613</v>
      </c>
      <c r="D20" s="93">
        <v>12.970433659238381</v>
      </c>
      <c r="E20" s="93">
        <v>12.162746679502023</v>
      </c>
      <c r="F20" s="93">
        <v>10.849144639445282</v>
      </c>
      <c r="G20" s="93">
        <v>13.38123501470951</v>
      </c>
      <c r="H20" s="93">
        <v>15.370507857713836</v>
      </c>
      <c r="I20" s="93">
        <f>0.126646*100</f>
        <v>12.6646</v>
      </c>
      <c r="J20" s="96"/>
      <c r="K20" s="84">
        <v>129.95500000000001</v>
      </c>
      <c r="L20" s="84">
        <v>154.61600000000001</v>
      </c>
      <c r="M20" s="84">
        <v>149.59399999999999</v>
      </c>
      <c r="N20" s="84">
        <v>137.18700000000001</v>
      </c>
      <c r="O20" s="84">
        <v>174.071</v>
      </c>
      <c r="P20" s="84">
        <v>205.166</v>
      </c>
      <c r="Q20" s="90">
        <f>173251/1000</f>
        <v>173.251</v>
      </c>
      <c r="R20" s="11"/>
    </row>
    <row r="21" spans="2:18" x14ac:dyDescent="0.25">
      <c r="B21" s="12" t="s">
        <v>11</v>
      </c>
      <c r="C21" s="93"/>
      <c r="D21" s="93"/>
      <c r="E21" s="93"/>
      <c r="F21" s="93"/>
      <c r="G21" s="93"/>
      <c r="H21" s="93"/>
      <c r="I21" s="93"/>
      <c r="J21" s="96"/>
      <c r="K21" s="84"/>
      <c r="L21" s="84"/>
      <c r="M21" s="84"/>
      <c r="N21" s="84"/>
      <c r="O21" s="84"/>
      <c r="P21" s="84"/>
      <c r="Q21" s="90"/>
      <c r="R21" s="11"/>
    </row>
    <row r="22" spans="2:18" x14ac:dyDescent="0.25">
      <c r="B22" s="13" t="s">
        <v>12</v>
      </c>
      <c r="C22" s="93">
        <v>83.15346579253756</v>
      </c>
      <c r="D22" s="93">
        <v>79.654129598637653</v>
      </c>
      <c r="E22" s="93">
        <v>81.803199516072382</v>
      </c>
      <c r="F22" s="93">
        <v>81.488909415292738</v>
      </c>
      <c r="G22" s="93">
        <v>78.368908544277289</v>
      </c>
      <c r="H22" s="93">
        <v>76.993533877283767</v>
      </c>
      <c r="I22" s="93">
        <f>0.791317*100</f>
        <v>79.131700000000009</v>
      </c>
      <c r="J22" s="96"/>
      <c r="K22" s="84">
        <v>959.89700000000005</v>
      </c>
      <c r="L22" s="84">
        <v>949.529</v>
      </c>
      <c r="M22" s="84">
        <v>1006.127</v>
      </c>
      <c r="N22" s="84">
        <v>1030.424</v>
      </c>
      <c r="O22" s="84">
        <v>1019.4690000000001</v>
      </c>
      <c r="P22" s="84">
        <v>1027.712</v>
      </c>
      <c r="Q22" s="90">
        <f>1082514/1000</f>
        <v>1082.5139999999999</v>
      </c>
      <c r="R22" s="11"/>
    </row>
    <row r="23" spans="2:18" x14ac:dyDescent="0.25">
      <c r="B23" s="13" t="s">
        <v>13</v>
      </c>
      <c r="C23" s="93">
        <v>29.094967982480458</v>
      </c>
      <c r="D23" s="93">
        <v>23.298981179717547</v>
      </c>
      <c r="E23" s="93">
        <v>22.945177635259071</v>
      </c>
      <c r="F23" s="93">
        <v>15.869880173602763</v>
      </c>
      <c r="G23" s="93">
        <v>13.468177565746942</v>
      </c>
      <c r="H23" s="93">
        <v>13.502516850801205</v>
      </c>
      <c r="I23" s="93">
        <f>0.178604*100</f>
        <v>17.860400000000002</v>
      </c>
      <c r="J23" s="96"/>
      <c r="K23" s="84">
        <v>335.863</v>
      </c>
      <c r="L23" s="84">
        <v>277.73899999999998</v>
      </c>
      <c r="M23" s="84">
        <v>282.21100000000001</v>
      </c>
      <c r="N23" s="84">
        <v>200.67400000000001</v>
      </c>
      <c r="O23" s="84">
        <v>175.202</v>
      </c>
      <c r="P23" s="84">
        <v>180.232</v>
      </c>
      <c r="Q23" s="90">
        <f>244329/1000</f>
        <v>244.32900000000001</v>
      </c>
      <c r="R23" s="11"/>
    </row>
    <row r="24" spans="2:18" x14ac:dyDescent="0.25">
      <c r="B24" s="14" t="s">
        <v>14</v>
      </c>
      <c r="C24" s="93"/>
      <c r="D24" s="93"/>
      <c r="E24" s="93"/>
      <c r="F24" s="93"/>
      <c r="G24" s="93"/>
      <c r="H24" s="93"/>
      <c r="I24" s="93"/>
      <c r="J24" s="96"/>
      <c r="K24" s="84"/>
      <c r="L24" s="84"/>
      <c r="M24" s="84"/>
      <c r="N24" s="84"/>
      <c r="O24" s="84"/>
      <c r="P24" s="84"/>
      <c r="Q24" s="90"/>
      <c r="R24" s="11"/>
    </row>
    <row r="25" spans="2:18" x14ac:dyDescent="0.25">
      <c r="B25" s="15" t="s">
        <v>15</v>
      </c>
      <c r="C25" s="93">
        <v>17.720518933303765</v>
      </c>
      <c r="D25" s="93">
        <v>15.572892417779233</v>
      </c>
      <c r="E25" s="93">
        <v>15.80740786512469</v>
      </c>
      <c r="F25" s="93">
        <v>14.933538737963584</v>
      </c>
      <c r="G25" s="93">
        <v>13.046071864821629</v>
      </c>
      <c r="H25" s="93">
        <v>13.116991795793087</v>
      </c>
      <c r="I25" s="93">
        <f>0.125671*100</f>
        <v>12.5671</v>
      </c>
      <c r="J25" s="96"/>
      <c r="K25" s="84">
        <v>204.56</v>
      </c>
      <c r="L25" s="84">
        <v>185.63900000000001</v>
      </c>
      <c r="M25" s="84">
        <v>194.42099999999999</v>
      </c>
      <c r="N25" s="84">
        <v>188.834</v>
      </c>
      <c r="O25" s="84">
        <v>169.71100000000001</v>
      </c>
      <c r="P25" s="84">
        <v>175.08600000000001</v>
      </c>
      <c r="Q25" s="90">
        <f>171917/1000</f>
        <v>171.917</v>
      </c>
      <c r="R25" s="11"/>
    </row>
    <row r="26" spans="2:18" x14ac:dyDescent="0.25">
      <c r="B26" s="13" t="s">
        <v>16</v>
      </c>
      <c r="C26" s="93">
        <v>44.581190746798249</v>
      </c>
      <c r="D26" s="93">
        <v>33.414033630716446</v>
      </c>
      <c r="E26" s="93">
        <v>24.180526466417763</v>
      </c>
      <c r="F26" s="93">
        <v>17.481273171287217</v>
      </c>
      <c r="G26" s="93">
        <v>12.525339025982063</v>
      </c>
      <c r="H26" s="93">
        <v>13.736633795399023</v>
      </c>
      <c r="I26" s="93">
        <f>0.27562*100</f>
        <v>27.561999999999998</v>
      </c>
      <c r="J26" s="96"/>
      <c r="K26" s="84">
        <v>514.63099999999997</v>
      </c>
      <c r="L26" s="84">
        <v>398.31700000000001</v>
      </c>
      <c r="M26" s="84">
        <v>297.40499999999997</v>
      </c>
      <c r="N26" s="84">
        <v>221.05</v>
      </c>
      <c r="O26" s="84">
        <v>162.93700000000001</v>
      </c>
      <c r="P26" s="84">
        <v>183.357</v>
      </c>
      <c r="Q26" s="93">
        <f>377046/1000</f>
        <v>377.04599999999999</v>
      </c>
      <c r="R26" s="11"/>
    </row>
    <row r="27" spans="2:18" x14ac:dyDescent="0.25">
      <c r="B27" s="13" t="s">
        <v>17</v>
      </c>
      <c r="C27" s="93">
        <v>74.918743416310917</v>
      </c>
      <c r="D27" s="93">
        <v>70.840851799188798</v>
      </c>
      <c r="E27" s="93">
        <v>70.779699106294956</v>
      </c>
      <c r="F27" s="93">
        <v>71.467604484316283</v>
      </c>
      <c r="G27" s="93">
        <v>66.227392822742516</v>
      </c>
      <c r="H27" s="93">
        <v>67.784909083962205</v>
      </c>
      <c r="I27" s="93">
        <f>0.680678*100</f>
        <v>68.067800000000005</v>
      </c>
      <c r="J27" s="96"/>
      <c r="K27" s="84">
        <v>864.83799999999997</v>
      </c>
      <c r="L27" s="84">
        <v>844.46900000000005</v>
      </c>
      <c r="M27" s="84">
        <v>870.54499999999996</v>
      </c>
      <c r="N27" s="84">
        <v>903.70500000000004</v>
      </c>
      <c r="O27" s="84">
        <v>861.52499999999998</v>
      </c>
      <c r="P27" s="84">
        <v>904.79499999999996</v>
      </c>
      <c r="Q27" s="90">
        <f>931161/1000</f>
        <v>931.16099999999994</v>
      </c>
      <c r="R27" s="11"/>
    </row>
    <row r="28" spans="2:18" x14ac:dyDescent="0.25">
      <c r="B28" s="13" t="s">
        <v>18</v>
      </c>
      <c r="C28" s="93">
        <v>13.37467774574486</v>
      </c>
      <c r="D28" s="93">
        <v>11.72285068347783</v>
      </c>
      <c r="E28" s="93">
        <v>12.963438748032418</v>
      </c>
      <c r="F28" s="93">
        <v>9.4223311105768612</v>
      </c>
      <c r="G28" s="93">
        <v>10.237543038868932</v>
      </c>
      <c r="H28" s="93">
        <v>8.7140948889087007</v>
      </c>
      <c r="I28" s="93">
        <f>0.081646*100</f>
        <v>8.1646000000000001</v>
      </c>
      <c r="J28" s="96"/>
      <c r="K28" s="84">
        <v>154.393</v>
      </c>
      <c r="L28" s="84">
        <v>139.744</v>
      </c>
      <c r="M28" s="84">
        <v>159.44200000000001</v>
      </c>
      <c r="N28" s="84">
        <v>119.145</v>
      </c>
      <c r="O28" s="84">
        <v>133.17599999999999</v>
      </c>
      <c r="P28" s="84">
        <v>116.316</v>
      </c>
      <c r="Q28" s="90">
        <f>111691/1000</f>
        <v>111.691</v>
      </c>
      <c r="R28" s="11"/>
    </row>
    <row r="29" spans="2:18" x14ac:dyDescent="0.25">
      <c r="B29" s="13" t="s">
        <v>19</v>
      </c>
      <c r="C29" s="93">
        <v>12.38790403060376</v>
      </c>
      <c r="D29" s="93">
        <v>13.663348894565313</v>
      </c>
      <c r="E29" s="93">
        <v>16.020183164002031</v>
      </c>
      <c r="F29" s="93">
        <v>12.099840568890688</v>
      </c>
      <c r="G29" s="93">
        <v>10.710768807380354</v>
      </c>
      <c r="H29" s="93">
        <v>10.130333839525383</v>
      </c>
      <c r="I29" s="93">
        <f>0.0769647*100</f>
        <v>7.6964699999999997</v>
      </c>
      <c r="J29" s="96"/>
      <c r="K29" s="84">
        <v>143.00200000000001</v>
      </c>
      <c r="L29" s="84">
        <v>162.876</v>
      </c>
      <c r="M29" s="84">
        <v>197.03800000000001</v>
      </c>
      <c r="N29" s="84">
        <v>153.00200000000001</v>
      </c>
      <c r="O29" s="84">
        <v>139.33199999999999</v>
      </c>
      <c r="P29" s="84">
        <v>135.22</v>
      </c>
      <c r="Q29" s="90">
        <f>105287/1000</f>
        <v>105.28700000000001</v>
      </c>
      <c r="R29" s="11"/>
    </row>
    <row r="30" spans="2:18" x14ac:dyDescent="0.25">
      <c r="B30" s="13" t="s">
        <v>20</v>
      </c>
      <c r="C30" s="93">
        <v>24.799630620391415</v>
      </c>
      <c r="D30" s="93">
        <v>24.148179839186621</v>
      </c>
      <c r="E30" s="93">
        <v>28.404730002211497</v>
      </c>
      <c r="F30" s="93">
        <v>24.001262162948716</v>
      </c>
      <c r="G30" s="93">
        <v>22.157359098872362</v>
      </c>
      <c r="H30" s="93">
        <v>20.235944929701237</v>
      </c>
      <c r="I30" s="93">
        <f>0.271679*100</f>
        <v>27.167899999999999</v>
      </c>
      <c r="J30" s="96"/>
      <c r="K30" s="84">
        <v>286.279</v>
      </c>
      <c r="L30" s="84">
        <v>287.86200000000002</v>
      </c>
      <c r="M30" s="84">
        <v>349.36</v>
      </c>
      <c r="N30" s="84">
        <v>303.495</v>
      </c>
      <c r="O30" s="84">
        <v>288.23599999999999</v>
      </c>
      <c r="P30" s="84">
        <v>270.11</v>
      </c>
      <c r="Q30" s="90">
        <f>371655/1000</f>
        <v>371.65499999999997</v>
      </c>
      <c r="R30" s="11"/>
    </row>
    <row r="31" spans="2:18" x14ac:dyDescent="0.25">
      <c r="B31" s="7" t="s">
        <v>21</v>
      </c>
      <c r="C31" s="93"/>
      <c r="D31" s="93"/>
      <c r="E31" s="93"/>
      <c r="F31" s="93"/>
      <c r="G31" s="93"/>
      <c r="H31" s="93"/>
      <c r="I31" s="93"/>
      <c r="J31" s="96"/>
      <c r="K31" s="84"/>
      <c r="L31" s="84"/>
      <c r="M31" s="84"/>
      <c r="N31" s="84"/>
      <c r="O31" s="84"/>
      <c r="P31" s="84"/>
      <c r="Q31" s="90"/>
      <c r="R31" s="11"/>
    </row>
    <row r="32" spans="2:18" ht="15" customHeight="1" x14ac:dyDescent="0.25">
      <c r="B32" s="15" t="s">
        <v>22</v>
      </c>
      <c r="C32" s="93">
        <v>21.734403587071021</v>
      </c>
      <c r="D32" s="93">
        <v>26.84778095154207</v>
      </c>
      <c r="E32" s="93">
        <v>24.379317297810619</v>
      </c>
      <c r="F32" s="93">
        <v>27.050935708772506</v>
      </c>
      <c r="G32" s="93">
        <v>19.578294034941525</v>
      </c>
      <c r="H32" s="93">
        <v>14.914785178037507</v>
      </c>
      <c r="I32" s="93">
        <f>0.297999*100</f>
        <v>29.799900000000001</v>
      </c>
      <c r="J32" s="96"/>
      <c r="K32" s="84">
        <v>250.89500000000001</v>
      </c>
      <c r="L32" s="84">
        <v>320.04300000000001</v>
      </c>
      <c r="M32" s="84">
        <v>299.85000000000002</v>
      </c>
      <c r="N32" s="84">
        <v>342.05799999999999</v>
      </c>
      <c r="O32" s="84">
        <v>254.68600000000001</v>
      </c>
      <c r="P32" s="84">
        <v>199.083</v>
      </c>
      <c r="Q32" s="90">
        <f>407660/1000</f>
        <v>407.66</v>
      </c>
      <c r="R32" s="11"/>
    </row>
    <row r="33" spans="1:18" ht="15" customHeight="1" thickBot="1" x14ac:dyDescent="0.3">
      <c r="A33" s="17"/>
      <c r="B33" s="35" t="s">
        <v>23</v>
      </c>
      <c r="C33" s="94">
        <v>65.166827216277653</v>
      </c>
      <c r="D33" s="94">
        <v>67.688339142580318</v>
      </c>
      <c r="E33" s="94">
        <v>63.913488181498877</v>
      </c>
      <c r="F33" s="94">
        <v>66.589534486467343</v>
      </c>
      <c r="G33" s="94">
        <v>62.195518499699041</v>
      </c>
      <c r="H33" s="94">
        <v>56.014707788340303</v>
      </c>
      <c r="I33" s="97">
        <f>0.66487*100</f>
        <v>66.486999999999995</v>
      </c>
      <c r="J33" s="96"/>
      <c r="K33" s="50">
        <v>752.26499999999999</v>
      </c>
      <c r="L33" s="50">
        <v>806.88900000000001</v>
      </c>
      <c r="M33" s="50">
        <v>786.09500000000003</v>
      </c>
      <c r="N33" s="50">
        <v>842.02200000000005</v>
      </c>
      <c r="O33" s="50">
        <v>809.07600000000002</v>
      </c>
      <c r="P33" s="50">
        <v>747.68600000000004</v>
      </c>
      <c r="Q33" s="92">
        <f>909536/1000</f>
        <v>909.53599999999994</v>
      </c>
      <c r="R33" s="18"/>
    </row>
    <row r="34" spans="1:18" ht="15.75" thickTop="1" x14ac:dyDescent="0.25">
      <c r="B34" s="19" t="s">
        <v>63</v>
      </c>
    </row>
    <row r="35" spans="1:18" x14ac:dyDescent="0.25">
      <c r="B35" s="19" t="s">
        <v>35</v>
      </c>
    </row>
    <row r="36" spans="1:18" x14ac:dyDescent="0.25">
      <c r="B36" s="27"/>
      <c r="C36" s="27"/>
      <c r="D36" s="95"/>
      <c r="E36" s="95"/>
    </row>
    <row r="37" spans="1:18" x14ac:dyDescent="0.25">
      <c r="B37" s="27"/>
      <c r="C37" s="28"/>
      <c r="D37" s="95"/>
      <c r="E37" s="95"/>
    </row>
    <row r="38" spans="1:18" x14ac:dyDescent="0.25">
      <c r="B38" s="80"/>
      <c r="C38" s="80"/>
      <c r="D38" s="80"/>
      <c r="E38" s="80"/>
    </row>
    <row r="39" spans="1:18" x14ac:dyDescent="0.25">
      <c r="B39" s="80"/>
      <c r="C39" s="80"/>
      <c r="D39" s="80"/>
      <c r="E39" s="80"/>
    </row>
  </sheetData>
  <mergeCells count="9">
    <mergeCell ref="B4:R4"/>
    <mergeCell ref="B9:R9"/>
    <mergeCell ref="B10:R10"/>
    <mergeCell ref="B38:E38"/>
    <mergeCell ref="B39:E39"/>
    <mergeCell ref="C12:I12"/>
    <mergeCell ref="K12:Q12"/>
    <mergeCell ref="B11:B13"/>
    <mergeCell ref="C11:R11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757D0-E690-443C-AE9D-F6DA898B5BFA}">
  <dimension ref="A4:R39"/>
  <sheetViews>
    <sheetView workbookViewId="0">
      <selection activeCell="N3" sqref="N3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10.5703125" style="2" customWidth="1"/>
    <col min="17" max="17" width="12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customHeight="1" x14ac:dyDescent="0.25">
      <c r="A9" s="1"/>
      <c r="B9" s="70" t="s">
        <v>69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2">
        <v>2008</v>
      </c>
      <c r="D13" s="22">
        <v>2010</v>
      </c>
      <c r="E13" s="22">
        <v>2012</v>
      </c>
      <c r="F13" s="22">
        <v>2014</v>
      </c>
      <c r="G13" s="22">
        <v>2016</v>
      </c>
      <c r="H13" s="22">
        <v>2018</v>
      </c>
      <c r="I13" s="22">
        <v>2020</v>
      </c>
      <c r="J13" s="62"/>
      <c r="K13" s="22">
        <v>2008</v>
      </c>
      <c r="L13" s="22">
        <v>2010</v>
      </c>
      <c r="M13" s="22">
        <v>2012</v>
      </c>
      <c r="N13" s="22">
        <v>2014</v>
      </c>
      <c r="O13" s="22">
        <v>2016</v>
      </c>
      <c r="P13" s="22">
        <v>2018</v>
      </c>
      <c r="Q13" s="22">
        <v>2020</v>
      </c>
      <c r="R13" s="6"/>
    </row>
    <row r="14" spans="1:18" ht="15" customHeight="1" x14ac:dyDescent="0.25">
      <c r="B14" s="7" t="s">
        <v>4</v>
      </c>
      <c r="C14" s="60"/>
      <c r="D14" s="60"/>
      <c r="E14" s="60"/>
      <c r="F14" s="60"/>
      <c r="G14" s="60"/>
      <c r="H14" s="60"/>
      <c r="I14" s="60"/>
      <c r="J14" s="61"/>
      <c r="K14" s="60"/>
      <c r="L14" s="60"/>
      <c r="M14" s="60"/>
      <c r="N14" s="60"/>
      <c r="O14" s="60"/>
      <c r="P14" s="60"/>
      <c r="Q14" s="60"/>
      <c r="R14" s="9"/>
    </row>
    <row r="15" spans="1:18" ht="15" customHeight="1" x14ac:dyDescent="0.25">
      <c r="B15" s="10" t="s">
        <v>5</v>
      </c>
      <c r="C15" s="85">
        <v>51.190736515044399</v>
      </c>
      <c r="D15" s="85">
        <v>57.579122113026372</v>
      </c>
      <c r="E15" s="85">
        <v>52.644296919417634</v>
      </c>
      <c r="F15" s="85">
        <v>58.005177890477754</v>
      </c>
      <c r="G15" s="85">
        <v>62.160045488325522</v>
      </c>
      <c r="H15" s="85">
        <v>61.778921975104197</v>
      </c>
      <c r="I15" s="85">
        <f>0.608461*100</f>
        <v>60.8461</v>
      </c>
      <c r="J15" s="100"/>
      <c r="K15" s="82">
        <v>3878.9969999999998</v>
      </c>
      <c r="L15" s="82">
        <v>4447.9629999999997</v>
      </c>
      <c r="M15" s="82">
        <v>4141.759</v>
      </c>
      <c r="N15" s="82">
        <v>4634.2389999999996</v>
      </c>
      <c r="O15" s="82">
        <v>5049.5110000000004</v>
      </c>
      <c r="P15" s="82">
        <v>5088.5630000000001</v>
      </c>
      <c r="Q15" s="87">
        <f>5076907/1000</f>
        <v>5076.9070000000002</v>
      </c>
      <c r="R15" s="11"/>
    </row>
    <row r="16" spans="1:18" ht="15" customHeight="1" x14ac:dyDescent="0.25">
      <c r="B16" s="10" t="s">
        <v>6</v>
      </c>
      <c r="C16" s="85">
        <v>34.346081055097457</v>
      </c>
      <c r="D16" s="85">
        <v>38.82173857773725</v>
      </c>
      <c r="E16" s="85">
        <v>38.383598936426722</v>
      </c>
      <c r="F16" s="85">
        <v>40.851650834347808</v>
      </c>
      <c r="G16" s="85">
        <v>45.756710580528875</v>
      </c>
      <c r="H16" s="85">
        <v>44.079519420935249</v>
      </c>
      <c r="I16" s="85">
        <f>0.448138*100</f>
        <v>44.813800000000001</v>
      </c>
      <c r="J16" s="100"/>
      <c r="K16" s="82">
        <v>2602.587</v>
      </c>
      <c r="L16" s="82">
        <v>2998.9630000000002</v>
      </c>
      <c r="M16" s="82">
        <v>3019.8069999999998</v>
      </c>
      <c r="N16" s="82">
        <v>3263.7829999999999</v>
      </c>
      <c r="O16" s="82">
        <v>3717.002</v>
      </c>
      <c r="P16" s="82">
        <v>3630.7109999999998</v>
      </c>
      <c r="Q16" s="87">
        <f>3739197/1000</f>
        <v>3739.1970000000001</v>
      </c>
      <c r="R16" s="11"/>
    </row>
    <row r="17" spans="2:18" ht="15" customHeight="1" x14ac:dyDescent="0.25">
      <c r="B17" s="10" t="s">
        <v>7</v>
      </c>
      <c r="C17" s="85">
        <v>16.844655459946946</v>
      </c>
      <c r="D17" s="85">
        <v>18.757383535289122</v>
      </c>
      <c r="E17" s="85">
        <v>14.26069798299091</v>
      </c>
      <c r="F17" s="85">
        <v>17.153527056129946</v>
      </c>
      <c r="G17" s="85">
        <v>16.403334907796648</v>
      </c>
      <c r="H17" s="85">
        <v>17.699402554168948</v>
      </c>
      <c r="I17" s="85">
        <f>0.160323*100</f>
        <v>16.032299999999999</v>
      </c>
      <c r="J17" s="100"/>
      <c r="K17" s="82">
        <v>1276.4100000000001</v>
      </c>
      <c r="L17" s="82">
        <v>1449</v>
      </c>
      <c r="M17" s="82">
        <v>1121.952</v>
      </c>
      <c r="N17" s="82">
        <v>1370.4559999999999</v>
      </c>
      <c r="O17" s="82">
        <v>1332.509</v>
      </c>
      <c r="P17" s="82">
        <v>1457.8520000000001</v>
      </c>
      <c r="Q17" s="87">
        <f>1337710/1000</f>
        <v>1337.71</v>
      </c>
      <c r="R17" s="11"/>
    </row>
    <row r="18" spans="2:18" ht="15" customHeight="1" x14ac:dyDescent="0.25">
      <c r="B18" s="10" t="s">
        <v>8</v>
      </c>
      <c r="C18" s="85">
        <v>32.728589777918607</v>
      </c>
      <c r="D18" s="85">
        <v>23.636698089491233</v>
      </c>
      <c r="E18" s="85">
        <v>30.554051819390825</v>
      </c>
      <c r="F18" s="85">
        <v>24.767096313419081</v>
      </c>
      <c r="G18" s="85">
        <v>19.938245092604664</v>
      </c>
      <c r="H18" s="85">
        <v>21.149121071104673</v>
      </c>
      <c r="I18" s="85">
        <f>0.216579*100</f>
        <v>21.657899999999998</v>
      </c>
      <c r="J18" s="100"/>
      <c r="K18" s="82">
        <v>2480.0210000000002</v>
      </c>
      <c r="L18" s="82">
        <v>1825.925</v>
      </c>
      <c r="M18" s="82">
        <v>2403.8220000000001</v>
      </c>
      <c r="N18" s="82">
        <v>1978.731</v>
      </c>
      <c r="O18" s="82">
        <v>1619.664</v>
      </c>
      <c r="P18" s="82">
        <v>1741.9960000000001</v>
      </c>
      <c r="Q18" s="87">
        <f>1807106/1000</f>
        <v>1807.106</v>
      </c>
      <c r="R18" s="11"/>
    </row>
    <row r="19" spans="2:18" ht="15" customHeight="1" x14ac:dyDescent="0.25">
      <c r="B19" s="10" t="s">
        <v>9</v>
      </c>
      <c r="C19" s="85">
        <v>3.1498229569845715</v>
      </c>
      <c r="D19" s="85">
        <v>4.5272996953510951</v>
      </c>
      <c r="E19" s="85">
        <v>3.9850696052248753</v>
      </c>
      <c r="F19" s="85">
        <v>5.0179651571328545</v>
      </c>
      <c r="G19" s="85">
        <v>4.9729405275104535</v>
      </c>
      <c r="H19" s="85">
        <v>6.1467354156321745</v>
      </c>
      <c r="I19" s="85">
        <f>0.0557134*100</f>
        <v>5.5713400000000002</v>
      </c>
      <c r="J19" s="100"/>
      <c r="K19" s="82">
        <v>238.679</v>
      </c>
      <c r="L19" s="82">
        <v>349.73200000000003</v>
      </c>
      <c r="M19" s="82">
        <v>313.52300000000002</v>
      </c>
      <c r="N19" s="82">
        <v>400.90300000000002</v>
      </c>
      <c r="O19" s="82">
        <v>403.97199999999998</v>
      </c>
      <c r="P19" s="82">
        <v>506.29</v>
      </c>
      <c r="Q19" s="87">
        <f>464864/1000</f>
        <v>464.86399999999998</v>
      </c>
      <c r="R19" s="11"/>
    </row>
    <row r="20" spans="2:18" ht="15" customHeight="1" x14ac:dyDescent="0.25">
      <c r="B20" s="10" t="s">
        <v>10</v>
      </c>
      <c r="C20" s="85">
        <v>12.930850750052425</v>
      </c>
      <c r="D20" s="85">
        <v>14.2568801021313</v>
      </c>
      <c r="E20" s="85">
        <v>12.81658165596666</v>
      </c>
      <c r="F20" s="85">
        <v>12.209760638970311</v>
      </c>
      <c r="G20" s="85">
        <v>12.928768891559361</v>
      </c>
      <c r="H20" s="85">
        <v>10.925221538158954</v>
      </c>
      <c r="I20" s="85">
        <f>0.119246*100</f>
        <v>11.9246</v>
      </c>
      <c r="J20" s="100"/>
      <c r="K20" s="82">
        <v>979.84</v>
      </c>
      <c r="L20" s="82">
        <v>1101.338</v>
      </c>
      <c r="M20" s="82">
        <v>1008.337</v>
      </c>
      <c r="N20" s="82">
        <v>975.48099999999999</v>
      </c>
      <c r="O20" s="82">
        <v>1050.2560000000001</v>
      </c>
      <c r="P20" s="82">
        <v>899.88099999999997</v>
      </c>
      <c r="Q20" s="87">
        <f>994971/1000</f>
        <v>994.971</v>
      </c>
      <c r="R20" s="11"/>
    </row>
    <row r="21" spans="2:18" x14ac:dyDescent="0.25">
      <c r="B21" s="12" t="s">
        <v>11</v>
      </c>
      <c r="C21" s="85"/>
      <c r="D21" s="85"/>
      <c r="E21" s="85"/>
      <c r="F21" s="85"/>
      <c r="G21" s="85"/>
      <c r="H21" s="85"/>
      <c r="I21" s="85"/>
      <c r="J21" s="100"/>
      <c r="K21" s="82"/>
      <c r="L21" s="82"/>
      <c r="M21" s="82"/>
      <c r="N21" s="82"/>
      <c r="O21" s="82"/>
      <c r="P21" s="82"/>
      <c r="Q21" s="87"/>
      <c r="R21" s="11"/>
    </row>
    <row r="22" spans="2:18" x14ac:dyDescent="0.25">
      <c r="B22" s="13" t="s">
        <v>12</v>
      </c>
      <c r="C22" s="85">
        <v>83.919326292963007</v>
      </c>
      <c r="D22" s="85">
        <v>81.215820202517605</v>
      </c>
      <c r="E22" s="85">
        <v>83.198348738808463</v>
      </c>
      <c r="F22" s="85">
        <v>82.772274203896828</v>
      </c>
      <c r="G22" s="85">
        <v>82.098290580930183</v>
      </c>
      <c r="H22" s="85">
        <v>82.92804304620887</v>
      </c>
      <c r="I22" s="85">
        <f>0.825041*100</f>
        <v>82.504100000000008</v>
      </c>
      <c r="J22" s="100"/>
      <c r="K22" s="82">
        <v>6359.018</v>
      </c>
      <c r="L22" s="82">
        <v>6273.8879999999999</v>
      </c>
      <c r="M22" s="82">
        <v>6545.5810000000001</v>
      </c>
      <c r="N22" s="82">
        <v>6612.97</v>
      </c>
      <c r="O22" s="82">
        <v>6669.1750000000002</v>
      </c>
      <c r="P22" s="82">
        <v>6830.5590000000002</v>
      </c>
      <c r="Q22" s="87">
        <f>6884013/1000</f>
        <v>6884.0129999999999</v>
      </c>
      <c r="R22" s="11"/>
    </row>
    <row r="23" spans="2:18" x14ac:dyDescent="0.25">
      <c r="B23" s="13" t="s">
        <v>13</v>
      </c>
      <c r="C23" s="85">
        <v>46.713397770278128</v>
      </c>
      <c r="D23" s="85">
        <v>41.913172861263455</v>
      </c>
      <c r="E23" s="85">
        <v>36.945888758492117</v>
      </c>
      <c r="F23" s="85">
        <v>37.326922802519455</v>
      </c>
      <c r="G23" s="85">
        <v>33.441440736105299</v>
      </c>
      <c r="H23" s="85">
        <v>33.318756351124776</v>
      </c>
      <c r="I23" s="85">
        <f>0.354378*100</f>
        <v>35.437800000000003</v>
      </c>
      <c r="J23" s="100"/>
      <c r="K23" s="82">
        <v>3539.7249999999999</v>
      </c>
      <c r="L23" s="82">
        <v>3237.7750000000001</v>
      </c>
      <c r="M23" s="82">
        <v>2906.6959999999999</v>
      </c>
      <c r="N23" s="82">
        <v>2982.18</v>
      </c>
      <c r="O23" s="82">
        <v>2716.5830000000001</v>
      </c>
      <c r="P23" s="82">
        <v>2744.3760000000002</v>
      </c>
      <c r="Q23" s="87">
        <f>2956876/1000</f>
        <v>2956.8760000000002</v>
      </c>
      <c r="R23" s="11"/>
    </row>
    <row r="24" spans="2:18" x14ac:dyDescent="0.25">
      <c r="B24" s="14" t="s">
        <v>14</v>
      </c>
      <c r="C24" s="85"/>
      <c r="D24" s="85"/>
      <c r="E24" s="85"/>
      <c r="F24" s="85"/>
      <c r="G24" s="85"/>
      <c r="H24" s="85"/>
      <c r="I24" s="85"/>
      <c r="J24" s="100"/>
      <c r="K24" s="82"/>
      <c r="L24" s="82"/>
      <c r="M24" s="82"/>
      <c r="N24" s="82"/>
      <c r="O24" s="82"/>
      <c r="P24" s="82"/>
      <c r="Q24" s="87"/>
      <c r="R24" s="11"/>
    </row>
    <row r="25" spans="2:18" x14ac:dyDescent="0.25">
      <c r="B25" s="15" t="s">
        <v>15</v>
      </c>
      <c r="C25" s="85">
        <v>28.434542780853462</v>
      </c>
      <c r="D25" s="85">
        <v>25.795997855263419</v>
      </c>
      <c r="E25" s="85">
        <v>25.764146181712704</v>
      </c>
      <c r="F25" s="85">
        <v>27.795251030308581</v>
      </c>
      <c r="G25" s="85">
        <v>25.695401299184589</v>
      </c>
      <c r="H25" s="85">
        <v>24.956469375589585</v>
      </c>
      <c r="I25" s="85">
        <f>0.256087*100</f>
        <v>25.608700000000002</v>
      </c>
      <c r="J25" s="100"/>
      <c r="K25" s="82">
        <v>2154.6379999999999</v>
      </c>
      <c r="L25" s="82">
        <v>1992.73</v>
      </c>
      <c r="M25" s="82">
        <v>2026.979</v>
      </c>
      <c r="N25" s="82">
        <v>2220.6610000000001</v>
      </c>
      <c r="O25" s="82">
        <v>2087.3409999999999</v>
      </c>
      <c r="P25" s="82">
        <v>2055.5970000000002</v>
      </c>
      <c r="Q25" s="87">
        <f>2136750/1000</f>
        <v>2136.75</v>
      </c>
      <c r="R25" s="11"/>
    </row>
    <row r="26" spans="2:18" x14ac:dyDescent="0.25">
      <c r="B26" s="13" t="s">
        <v>16</v>
      </c>
      <c r="C26" s="85">
        <v>42.873324142132205</v>
      </c>
      <c r="D26" s="85">
        <v>34.936319394875675</v>
      </c>
      <c r="E26" s="85">
        <v>25.661368162786353</v>
      </c>
      <c r="F26" s="85">
        <v>21.733021217985833</v>
      </c>
      <c r="G26" s="85">
        <v>19.428938832654246</v>
      </c>
      <c r="H26" s="85">
        <v>16.745504587378729</v>
      </c>
      <c r="I26" s="85">
        <f>0.30956*100</f>
        <v>30.956</v>
      </c>
      <c r="J26" s="100"/>
      <c r="K26" s="82">
        <v>3248.7420000000002</v>
      </c>
      <c r="L26" s="82">
        <v>2698.8159999999998</v>
      </c>
      <c r="M26" s="82">
        <v>2018.893</v>
      </c>
      <c r="N26" s="82">
        <v>1736.328</v>
      </c>
      <c r="O26" s="82">
        <v>1578.2909999999999</v>
      </c>
      <c r="P26" s="82">
        <v>1379.2819999999999</v>
      </c>
      <c r="Q26" s="87">
        <f>2582918/1000</f>
        <v>2582.9180000000001</v>
      </c>
      <c r="R26" s="11"/>
    </row>
    <row r="27" spans="2:18" x14ac:dyDescent="0.25">
      <c r="B27" s="13" t="s">
        <v>17</v>
      </c>
      <c r="C27" s="85">
        <v>72.100129633151241</v>
      </c>
      <c r="D27" s="85">
        <v>69.231612650838997</v>
      </c>
      <c r="E27" s="85">
        <v>68.470357769444973</v>
      </c>
      <c r="F27" s="85">
        <v>68.455559736118843</v>
      </c>
      <c r="G27" s="85">
        <v>68.003052415348591</v>
      </c>
      <c r="H27" s="85">
        <v>67.518165582700902</v>
      </c>
      <c r="I27" s="85">
        <f>0.677132*100</f>
        <v>67.713200000000001</v>
      </c>
      <c r="J27" s="100"/>
      <c r="K27" s="82">
        <v>5463.4139999999998</v>
      </c>
      <c r="L27" s="82">
        <v>5348.1130000000003</v>
      </c>
      <c r="M27" s="82">
        <v>5386.8649999999998</v>
      </c>
      <c r="N27" s="82">
        <v>5469.1570000000002</v>
      </c>
      <c r="O27" s="82">
        <v>5524.1620000000003</v>
      </c>
      <c r="P27" s="82">
        <v>5561.2889999999998</v>
      </c>
      <c r="Q27" s="87">
        <f>5649888/1000</f>
        <v>5649.8879999999999</v>
      </c>
      <c r="R27" s="11"/>
    </row>
    <row r="28" spans="2:18" x14ac:dyDescent="0.25">
      <c r="B28" s="13" t="s">
        <v>18</v>
      </c>
      <c r="C28" s="85">
        <v>30.451794560686409</v>
      </c>
      <c r="D28" s="85">
        <v>24.039483450913259</v>
      </c>
      <c r="E28" s="85">
        <v>19.736481023499255</v>
      </c>
      <c r="F28" s="85">
        <v>16.838182411243764</v>
      </c>
      <c r="G28" s="85">
        <v>17.507724287469181</v>
      </c>
      <c r="H28" s="85">
        <v>16.868538849761979</v>
      </c>
      <c r="I28" s="85">
        <f>0.149548*100</f>
        <v>14.954799999999999</v>
      </c>
      <c r="J28" s="100"/>
      <c r="K28" s="82">
        <v>2307.4960000000001</v>
      </c>
      <c r="L28" s="82">
        <v>1857.04</v>
      </c>
      <c r="M28" s="82">
        <v>1552.7560000000001</v>
      </c>
      <c r="N28" s="82">
        <v>1345.2619999999999</v>
      </c>
      <c r="O28" s="82">
        <v>1422.223</v>
      </c>
      <c r="P28" s="82">
        <v>1389.4159999999999</v>
      </c>
      <c r="Q28" s="87">
        <f>1247804/1000</f>
        <v>1247.8040000000001</v>
      </c>
      <c r="R28" s="11"/>
    </row>
    <row r="29" spans="2:18" x14ac:dyDescent="0.25">
      <c r="B29" s="13" t="s">
        <v>19</v>
      </c>
      <c r="C29" s="85">
        <v>42.72162577365178</v>
      </c>
      <c r="D29" s="85">
        <v>39.257145475742391</v>
      </c>
      <c r="E29" s="85">
        <v>39.1515996116145</v>
      </c>
      <c r="F29" s="85">
        <v>40.043638071363468</v>
      </c>
      <c r="G29" s="85">
        <v>39.204062632372171</v>
      </c>
      <c r="H29" s="85">
        <v>42.083751683010128</v>
      </c>
      <c r="I29" s="85">
        <f>0.377517*100</f>
        <v>37.7517</v>
      </c>
      <c r="J29" s="100"/>
      <c r="K29" s="82">
        <v>3237.2469999999998</v>
      </c>
      <c r="L29" s="82">
        <v>3032.598</v>
      </c>
      <c r="M29" s="82">
        <v>3080.2289999999998</v>
      </c>
      <c r="N29" s="82">
        <v>3199.2280000000001</v>
      </c>
      <c r="O29" s="82">
        <v>3184.7040000000002</v>
      </c>
      <c r="P29" s="82">
        <v>3466.3249999999998</v>
      </c>
      <c r="Q29" s="87">
        <f>3149947/1000</f>
        <v>3149.9470000000001</v>
      </c>
      <c r="R29" s="11"/>
    </row>
    <row r="30" spans="2:18" x14ac:dyDescent="0.25">
      <c r="B30" s="13" t="s">
        <v>20</v>
      </c>
      <c r="C30" s="85">
        <v>25.585437590077092</v>
      </c>
      <c r="D30" s="85">
        <v>26.109708298737676</v>
      </c>
      <c r="E30" s="85">
        <v>28.203630634154102</v>
      </c>
      <c r="F30" s="85">
        <v>29.99704356572509</v>
      </c>
      <c r="G30" s="85">
        <v>22.211762730471456</v>
      </c>
      <c r="H30" s="85">
        <v>26.980852838444381</v>
      </c>
      <c r="I30" s="85">
        <f>0.231501*100</f>
        <v>23.150100000000002</v>
      </c>
      <c r="J30" s="100"/>
      <c r="K30" s="82">
        <v>1938.7460000000001</v>
      </c>
      <c r="L30" s="82">
        <v>2016.9639999999999</v>
      </c>
      <c r="M30" s="82">
        <v>2218.904</v>
      </c>
      <c r="N30" s="82">
        <v>2396.5700000000002</v>
      </c>
      <c r="O30" s="82">
        <v>1804.3510000000001</v>
      </c>
      <c r="P30" s="82">
        <v>2222.34</v>
      </c>
      <c r="Q30" s="87">
        <f>1931613/1000</f>
        <v>1931.6130000000001</v>
      </c>
      <c r="R30" s="11"/>
    </row>
    <row r="31" spans="2:18" x14ac:dyDescent="0.25">
      <c r="B31" s="7" t="s">
        <v>21</v>
      </c>
      <c r="C31" s="85"/>
      <c r="D31" s="85"/>
      <c r="E31" s="85"/>
      <c r="F31" s="85"/>
      <c r="G31" s="85"/>
      <c r="H31" s="85"/>
      <c r="I31" s="85"/>
      <c r="J31" s="100"/>
      <c r="K31" s="82"/>
      <c r="L31" s="82"/>
      <c r="M31" s="82"/>
      <c r="N31" s="82"/>
      <c r="O31" s="82"/>
      <c r="P31" s="82"/>
      <c r="Q31" s="87"/>
      <c r="R31" s="11"/>
    </row>
    <row r="32" spans="2:18" ht="15" customHeight="1" x14ac:dyDescent="0.25">
      <c r="B32" s="15" t="s">
        <v>22</v>
      </c>
      <c r="C32" s="85">
        <v>20.798446777627085</v>
      </c>
      <c r="D32" s="85">
        <v>27.773290158988566</v>
      </c>
      <c r="E32" s="85">
        <v>24.026236739493818</v>
      </c>
      <c r="F32" s="85">
        <v>29.184261956598746</v>
      </c>
      <c r="G32" s="85">
        <v>30.56576166416956</v>
      </c>
      <c r="H32" s="85">
        <v>32.211569397078691</v>
      </c>
      <c r="I32" s="85">
        <f>0.308699*100</f>
        <v>30.869900000000001</v>
      </c>
      <c r="J32" s="100"/>
      <c r="K32" s="82">
        <v>1576.01</v>
      </c>
      <c r="L32" s="82">
        <v>2145.4749999999999</v>
      </c>
      <c r="M32" s="82">
        <v>1890.25</v>
      </c>
      <c r="N32" s="82">
        <v>2331.634</v>
      </c>
      <c r="O32" s="82">
        <v>2482.98</v>
      </c>
      <c r="P32" s="82">
        <v>2653.18</v>
      </c>
      <c r="Q32" s="87">
        <f>2575741/1000</f>
        <v>2575.741</v>
      </c>
      <c r="R32" s="11"/>
    </row>
    <row r="33" spans="1:18" ht="15" customHeight="1" thickBot="1" x14ac:dyDescent="0.3">
      <c r="A33" s="17"/>
      <c r="B33" s="35" t="s">
        <v>23</v>
      </c>
      <c r="C33" s="86">
        <v>54.340559472028971</v>
      </c>
      <c r="D33" s="86">
        <v>62.106421808377462</v>
      </c>
      <c r="E33" s="86">
        <v>56.629366524642514</v>
      </c>
      <c r="F33" s="86">
        <v>63.02314304761061</v>
      </c>
      <c r="G33" s="86">
        <v>67.132986015835968</v>
      </c>
      <c r="H33" s="86">
        <v>67.925657390736376</v>
      </c>
      <c r="I33" s="101">
        <f>0.664174*100</f>
        <v>66.417400000000001</v>
      </c>
      <c r="J33" s="100"/>
      <c r="K33" s="83">
        <v>4117.6760000000004</v>
      </c>
      <c r="L33" s="83">
        <v>4797.6949999999997</v>
      </c>
      <c r="M33" s="83">
        <v>4455.2820000000002</v>
      </c>
      <c r="N33" s="83">
        <v>5035.1419999999998</v>
      </c>
      <c r="O33" s="83">
        <v>5453.4830000000002</v>
      </c>
      <c r="P33" s="83">
        <v>5594.8530000000001</v>
      </c>
      <c r="Q33" s="89">
        <f>5541771/1000</f>
        <v>5541.7709999999997</v>
      </c>
      <c r="R33" s="18"/>
    </row>
    <row r="34" spans="1:18" ht="15.75" thickTop="1" x14ac:dyDescent="0.25">
      <c r="B34" s="19" t="s">
        <v>63</v>
      </c>
    </row>
    <row r="35" spans="1:18" x14ac:dyDescent="0.25">
      <c r="B35" s="19" t="s">
        <v>35</v>
      </c>
    </row>
    <row r="36" spans="1:18" x14ac:dyDescent="0.25">
      <c r="B36" s="27"/>
      <c r="C36" s="27"/>
      <c r="D36" s="29"/>
      <c r="E36" s="29"/>
    </row>
    <row r="37" spans="1:18" x14ac:dyDescent="0.25">
      <c r="B37" s="27"/>
      <c r="C37" s="28"/>
      <c r="D37" s="29"/>
      <c r="E37" s="29"/>
    </row>
    <row r="38" spans="1:18" x14ac:dyDescent="0.25">
      <c r="B38" s="80"/>
      <c r="C38" s="80"/>
      <c r="D38" s="80"/>
      <c r="E38" s="80"/>
    </row>
    <row r="39" spans="1:18" x14ac:dyDescent="0.25">
      <c r="B39" s="80"/>
      <c r="C39" s="80"/>
      <c r="D39" s="80"/>
      <c r="E39" s="80"/>
    </row>
  </sheetData>
  <mergeCells count="9">
    <mergeCell ref="B4:R4"/>
    <mergeCell ref="B9:R9"/>
    <mergeCell ref="B10:R10"/>
    <mergeCell ref="B38:E38"/>
    <mergeCell ref="B39:E39"/>
    <mergeCell ref="C12:I12"/>
    <mergeCell ref="K12:Q12"/>
    <mergeCell ref="B11:B13"/>
    <mergeCell ref="C11:R11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C6214-62CE-4756-AF1A-4C29E5368179}">
  <dimension ref="A4:R39"/>
  <sheetViews>
    <sheetView workbookViewId="0">
      <selection activeCell="M3" sqref="M3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10.5703125" style="2" customWidth="1"/>
    <col min="17" max="17" width="10.4257812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customHeight="1" x14ac:dyDescent="0.25">
      <c r="A9" s="1"/>
      <c r="B9" s="70" t="s">
        <v>70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2">
        <v>2008</v>
      </c>
      <c r="D13" s="22">
        <v>2010</v>
      </c>
      <c r="E13" s="22">
        <v>2012</v>
      </c>
      <c r="F13" s="22">
        <v>2014</v>
      </c>
      <c r="G13" s="22">
        <v>2016</v>
      </c>
      <c r="H13" s="22">
        <v>2018</v>
      </c>
      <c r="I13" s="22">
        <v>2020</v>
      </c>
      <c r="J13" s="62"/>
      <c r="K13" s="22">
        <v>2008</v>
      </c>
      <c r="L13" s="22">
        <v>2010</v>
      </c>
      <c r="M13" s="22">
        <v>2012</v>
      </c>
      <c r="N13" s="22">
        <v>2014</v>
      </c>
      <c r="O13" s="22">
        <v>2016</v>
      </c>
      <c r="P13" s="22">
        <v>2018</v>
      </c>
      <c r="Q13" s="22">
        <v>2020</v>
      </c>
      <c r="R13" s="6"/>
    </row>
    <row r="14" spans="1:18" ht="15" customHeight="1" x14ac:dyDescent="0.25">
      <c r="B14" s="7" t="s">
        <v>4</v>
      </c>
      <c r="C14" s="59"/>
      <c r="D14" s="60"/>
      <c r="E14" s="60"/>
      <c r="F14" s="60"/>
      <c r="G14" s="60"/>
      <c r="H14" s="60"/>
      <c r="I14" s="60"/>
      <c r="J14" s="61"/>
      <c r="K14" s="60"/>
      <c r="L14" s="60"/>
      <c r="M14" s="60"/>
      <c r="N14" s="60"/>
      <c r="O14" s="60"/>
      <c r="P14" s="60"/>
      <c r="Q14" s="60"/>
      <c r="R14" s="9"/>
    </row>
    <row r="15" spans="1:18" ht="15" customHeight="1" x14ac:dyDescent="0.25">
      <c r="B15" s="10" t="s">
        <v>5</v>
      </c>
      <c r="C15" s="85">
        <v>47.026960884707336</v>
      </c>
      <c r="D15" s="85">
        <v>48.32065428621695</v>
      </c>
      <c r="E15" s="85">
        <v>48.85650545085992</v>
      </c>
      <c r="F15" s="85">
        <v>45.856505140203694</v>
      </c>
      <c r="G15" s="85">
        <v>41.871657480905363</v>
      </c>
      <c r="H15" s="85">
        <v>40.798022432487777</v>
      </c>
      <c r="I15" s="85">
        <f>0.478437*100</f>
        <v>47.843699999999998</v>
      </c>
      <c r="J15" s="100"/>
      <c r="K15" s="82">
        <v>907.00099999999998</v>
      </c>
      <c r="L15" s="82">
        <v>958.54600000000005</v>
      </c>
      <c r="M15" s="82">
        <v>996.87400000000002</v>
      </c>
      <c r="N15" s="82">
        <v>957.90800000000002</v>
      </c>
      <c r="O15" s="82">
        <v>901.86400000000003</v>
      </c>
      <c r="P15" s="82">
        <v>900.476</v>
      </c>
      <c r="Q15" s="87">
        <f>1080970/1000</f>
        <v>1080.97</v>
      </c>
      <c r="R15" s="11"/>
    </row>
    <row r="16" spans="1:18" ht="15" customHeight="1" x14ac:dyDescent="0.25">
      <c r="B16" s="10" t="s">
        <v>6</v>
      </c>
      <c r="C16" s="85">
        <v>38.165836480126593</v>
      </c>
      <c r="D16" s="85">
        <v>36.601000444115321</v>
      </c>
      <c r="E16" s="85">
        <v>39.024716576848206</v>
      </c>
      <c r="F16" s="85">
        <v>35.170913268786578</v>
      </c>
      <c r="G16" s="85">
        <v>35.723906239771352</v>
      </c>
      <c r="H16" s="85">
        <v>34.133065356504027</v>
      </c>
      <c r="I16" s="85">
        <f>0.364192*100</f>
        <v>36.419200000000004</v>
      </c>
      <c r="J16" s="100"/>
      <c r="K16" s="82">
        <v>736.09799999999996</v>
      </c>
      <c r="L16" s="82">
        <v>726.06100000000004</v>
      </c>
      <c r="M16" s="82">
        <v>796.26499999999999</v>
      </c>
      <c r="N16" s="82">
        <v>734.69399999999996</v>
      </c>
      <c r="O16" s="82">
        <v>769.44899999999996</v>
      </c>
      <c r="P16" s="82">
        <v>753.37</v>
      </c>
      <c r="Q16" s="87">
        <f>822849/1000</f>
        <v>822.84900000000005</v>
      </c>
      <c r="R16" s="11"/>
    </row>
    <row r="17" spans="2:18" ht="15" customHeight="1" x14ac:dyDescent="0.25">
      <c r="B17" s="10" t="s">
        <v>7</v>
      </c>
      <c r="C17" s="85">
        <v>8.8611244045807425</v>
      </c>
      <c r="D17" s="85">
        <v>11.719653842101629</v>
      </c>
      <c r="E17" s="85">
        <v>9.8317888740117194</v>
      </c>
      <c r="F17" s="85">
        <v>10.685591871417117</v>
      </c>
      <c r="G17" s="85">
        <v>6.1477512411340109</v>
      </c>
      <c r="H17" s="85">
        <v>6.6649570759837546</v>
      </c>
      <c r="I17" s="85">
        <f>0.114244*100</f>
        <v>11.4244</v>
      </c>
      <c r="J17" s="100"/>
      <c r="K17" s="82">
        <v>170.90299999999999</v>
      </c>
      <c r="L17" s="82">
        <v>232.48500000000001</v>
      </c>
      <c r="M17" s="82">
        <v>200.60900000000001</v>
      </c>
      <c r="N17" s="82">
        <v>223.214</v>
      </c>
      <c r="O17" s="82">
        <v>132.41499999999999</v>
      </c>
      <c r="P17" s="82">
        <v>147.10599999999999</v>
      </c>
      <c r="Q17" s="87">
        <f>258121/1000</f>
        <v>258.12099999999998</v>
      </c>
      <c r="R17" s="11"/>
    </row>
    <row r="18" spans="2:18" ht="15" customHeight="1" x14ac:dyDescent="0.25">
      <c r="B18" s="10" t="s">
        <v>8</v>
      </c>
      <c r="C18" s="85">
        <v>29.536476445325643</v>
      </c>
      <c r="D18" s="85">
        <v>26.007362937996763</v>
      </c>
      <c r="E18" s="85">
        <v>27.023022801277392</v>
      </c>
      <c r="F18" s="85">
        <v>27.682755484280193</v>
      </c>
      <c r="G18" s="85">
        <v>32.472699230271743</v>
      </c>
      <c r="H18" s="85">
        <v>33.28786003345482</v>
      </c>
      <c r="I18" s="85">
        <f>0.258996*100</f>
        <v>25.8996</v>
      </c>
      <c r="J18" s="100"/>
      <c r="K18" s="82">
        <v>569.66499999999996</v>
      </c>
      <c r="L18" s="82">
        <v>515.91300000000001</v>
      </c>
      <c r="M18" s="82">
        <v>551.38099999999997</v>
      </c>
      <c r="N18" s="82">
        <v>578.27200000000005</v>
      </c>
      <c r="O18" s="82">
        <v>699.42200000000003</v>
      </c>
      <c r="P18" s="82">
        <v>734.71500000000003</v>
      </c>
      <c r="Q18" s="87">
        <f>585171/1000</f>
        <v>585.17100000000005</v>
      </c>
      <c r="R18" s="11"/>
    </row>
    <row r="19" spans="2:18" ht="15" customHeight="1" x14ac:dyDescent="0.25">
      <c r="B19" s="10" t="s">
        <v>9</v>
      </c>
      <c r="C19" s="85">
        <v>4.7495104172121598</v>
      </c>
      <c r="D19" s="85">
        <v>6.4383110712757192</v>
      </c>
      <c r="E19" s="85">
        <v>6.2516785825607766</v>
      </c>
      <c r="F19" s="85">
        <v>6.9546776452002828</v>
      </c>
      <c r="G19" s="85">
        <v>5.7424356172613384</v>
      </c>
      <c r="H19" s="85">
        <v>5.4760062270179359</v>
      </c>
      <c r="I19" s="85">
        <f>0.0773982*100</f>
        <v>7.7398199999999999</v>
      </c>
      <c r="J19" s="100"/>
      <c r="K19" s="82">
        <v>91.602999999999994</v>
      </c>
      <c r="L19" s="82">
        <v>127.718</v>
      </c>
      <c r="M19" s="82">
        <v>127.56</v>
      </c>
      <c r="N19" s="82">
        <v>145.27799999999999</v>
      </c>
      <c r="O19" s="82">
        <v>123.685</v>
      </c>
      <c r="P19" s="82">
        <v>120.864</v>
      </c>
      <c r="Q19" s="87">
        <f>174872/1000</f>
        <v>174.87200000000001</v>
      </c>
      <c r="R19" s="11"/>
    </row>
    <row r="20" spans="2:18" ht="15" customHeight="1" x14ac:dyDescent="0.25">
      <c r="B20" s="10" t="s">
        <v>10</v>
      </c>
      <c r="C20" s="85">
        <v>18.68705225275486</v>
      </c>
      <c r="D20" s="85">
        <v>19.23367170451057</v>
      </c>
      <c r="E20" s="85">
        <v>17.868793165301909</v>
      </c>
      <c r="F20" s="85">
        <v>19.506061730315832</v>
      </c>
      <c r="G20" s="85">
        <v>19.913207671561562</v>
      </c>
      <c r="H20" s="85">
        <v>20.438111307039467</v>
      </c>
      <c r="I20" s="85">
        <f>0.185169*100</f>
        <v>18.5169</v>
      </c>
      <c r="J20" s="100"/>
      <c r="K20" s="82">
        <v>360.41399999999999</v>
      </c>
      <c r="L20" s="82">
        <v>381.54199999999997</v>
      </c>
      <c r="M20" s="82">
        <v>364.59699999999998</v>
      </c>
      <c r="N20" s="82">
        <v>407.46699999999998</v>
      </c>
      <c r="O20" s="82">
        <v>428.90600000000001</v>
      </c>
      <c r="P20" s="82">
        <v>451.101</v>
      </c>
      <c r="Q20" s="87">
        <f>418367/1000</f>
        <v>418.36700000000002</v>
      </c>
      <c r="R20" s="11"/>
    </row>
    <row r="21" spans="2:18" x14ac:dyDescent="0.25">
      <c r="B21" s="12" t="s">
        <v>11</v>
      </c>
      <c r="C21" s="85"/>
      <c r="D21" s="85"/>
      <c r="E21" s="85"/>
      <c r="F21" s="85"/>
      <c r="G21" s="85"/>
      <c r="H21" s="85"/>
      <c r="I21" s="85"/>
      <c r="J21" s="100"/>
      <c r="K21" s="82"/>
      <c r="L21" s="82"/>
      <c r="M21" s="82"/>
      <c r="N21" s="82"/>
      <c r="O21" s="82"/>
      <c r="P21" s="82"/>
      <c r="Q21" s="87"/>
      <c r="R21" s="11"/>
    </row>
    <row r="22" spans="2:18" x14ac:dyDescent="0.25">
      <c r="B22" s="13" t="s">
        <v>12</v>
      </c>
      <c r="C22" s="85">
        <v>76.563437330032983</v>
      </c>
      <c r="D22" s="85">
        <v>74.32801722421371</v>
      </c>
      <c r="E22" s="85">
        <v>75.87952825213732</v>
      </c>
      <c r="F22" s="85">
        <v>73.539260624483887</v>
      </c>
      <c r="G22" s="85">
        <v>74.344356711177099</v>
      </c>
      <c r="H22" s="85">
        <v>74.085882465942603</v>
      </c>
      <c r="I22" s="85">
        <f>0.737433*100</f>
        <v>73.743300000000005</v>
      </c>
      <c r="J22" s="100"/>
      <c r="K22" s="82">
        <v>1476.6659999999999</v>
      </c>
      <c r="L22" s="82">
        <v>1474.4590000000001</v>
      </c>
      <c r="M22" s="82">
        <v>1548.2550000000001</v>
      </c>
      <c r="N22" s="82">
        <v>1536.18</v>
      </c>
      <c r="O22" s="82">
        <v>1601.2860000000001</v>
      </c>
      <c r="P22" s="82">
        <v>1635.191</v>
      </c>
      <c r="Q22" s="87">
        <f>1666141/1000</f>
        <v>1666.1410000000001</v>
      </c>
      <c r="R22" s="11"/>
    </row>
    <row r="23" spans="2:18" x14ac:dyDescent="0.25">
      <c r="B23" s="13" t="s">
        <v>13</v>
      </c>
      <c r="C23" s="85">
        <v>35.238813221249941</v>
      </c>
      <c r="D23" s="85">
        <v>31.934815364474506</v>
      </c>
      <c r="E23" s="85">
        <v>32.74990541126008</v>
      </c>
      <c r="F23" s="85">
        <v>27.439616070466865</v>
      </c>
      <c r="G23" s="85">
        <v>24.329708706671738</v>
      </c>
      <c r="H23" s="85">
        <v>25.119021944982595</v>
      </c>
      <c r="I23" s="85">
        <f>0.27272*100</f>
        <v>27.272000000000002</v>
      </c>
      <c r="J23" s="100"/>
      <c r="K23" s="82">
        <v>679.64499999999998</v>
      </c>
      <c r="L23" s="82">
        <v>633.49699999999996</v>
      </c>
      <c r="M23" s="82">
        <v>668.23299999999995</v>
      </c>
      <c r="N23" s="82">
        <v>573.19299999999998</v>
      </c>
      <c r="O23" s="82">
        <v>524.03200000000004</v>
      </c>
      <c r="P23" s="82">
        <v>554.41600000000005</v>
      </c>
      <c r="Q23" s="87">
        <f>616177/1000</f>
        <v>616.17700000000002</v>
      </c>
      <c r="R23" s="11"/>
    </row>
    <row r="24" spans="2:18" x14ac:dyDescent="0.25">
      <c r="B24" s="14" t="s">
        <v>14</v>
      </c>
      <c r="C24" s="85"/>
      <c r="D24" s="85"/>
      <c r="E24" s="85"/>
      <c r="F24" s="85"/>
      <c r="G24" s="85"/>
      <c r="H24" s="85"/>
      <c r="I24" s="85"/>
      <c r="J24" s="100"/>
      <c r="K24" s="82"/>
      <c r="L24" s="82"/>
      <c r="M24" s="82"/>
      <c r="N24" s="82"/>
      <c r="O24" s="82"/>
      <c r="P24" s="82"/>
      <c r="Q24" s="87"/>
      <c r="R24" s="11"/>
    </row>
    <row r="25" spans="2:18" x14ac:dyDescent="0.25">
      <c r="B25" s="15" t="s">
        <v>15</v>
      </c>
      <c r="C25" s="85">
        <v>26.229712192205767</v>
      </c>
      <c r="D25" s="85">
        <v>24.650820000211723</v>
      </c>
      <c r="E25" s="85">
        <v>23.382434527928673</v>
      </c>
      <c r="F25" s="85">
        <v>21.819787689840467</v>
      </c>
      <c r="G25" s="85">
        <v>20.556187748882596</v>
      </c>
      <c r="H25" s="85">
        <v>19.702096272306989</v>
      </c>
      <c r="I25" s="85">
        <f>0.190685*100</f>
        <v>19.0685</v>
      </c>
      <c r="J25" s="100"/>
      <c r="K25" s="82">
        <v>505.88799999999998</v>
      </c>
      <c r="L25" s="82">
        <v>489.00299999999999</v>
      </c>
      <c r="M25" s="82">
        <v>477.09800000000001</v>
      </c>
      <c r="N25" s="82">
        <v>455.79899999999998</v>
      </c>
      <c r="O25" s="82">
        <v>442.755</v>
      </c>
      <c r="P25" s="82">
        <v>434.85599999999999</v>
      </c>
      <c r="Q25" s="87">
        <f>430831/1000</f>
        <v>430.83100000000002</v>
      </c>
      <c r="R25" s="11"/>
    </row>
    <row r="26" spans="2:18" x14ac:dyDescent="0.25">
      <c r="B26" s="13" t="s">
        <v>16</v>
      </c>
      <c r="C26" s="85">
        <v>26.932523385128608</v>
      </c>
      <c r="D26" s="85">
        <v>20.704847813626827</v>
      </c>
      <c r="E26" s="85">
        <v>15.715992652464305</v>
      </c>
      <c r="F26" s="85">
        <v>14.477302918965496</v>
      </c>
      <c r="G26" s="85">
        <v>14.41177931701764</v>
      </c>
      <c r="H26" s="85">
        <v>14.064071592583396</v>
      </c>
      <c r="I26" s="85">
        <f>0.247437*100</f>
        <v>24.7437</v>
      </c>
      <c r="J26" s="100"/>
      <c r="K26" s="82">
        <v>519.44299999999998</v>
      </c>
      <c r="L26" s="82">
        <v>410.726</v>
      </c>
      <c r="M26" s="82">
        <v>320.67099999999999</v>
      </c>
      <c r="N26" s="82">
        <v>302.42</v>
      </c>
      <c r="O26" s="82">
        <v>310.41199999999998</v>
      </c>
      <c r="P26" s="82">
        <v>310.416</v>
      </c>
      <c r="Q26" s="87">
        <f>559054/1000</f>
        <v>559.05399999999997</v>
      </c>
      <c r="R26" s="11"/>
    </row>
    <row r="27" spans="2:18" x14ac:dyDescent="0.25">
      <c r="B27" s="13" t="s">
        <v>17</v>
      </c>
      <c r="C27" s="85">
        <v>61.024751086622317</v>
      </c>
      <c r="D27" s="85">
        <v>56.860271036371579</v>
      </c>
      <c r="E27" s="85">
        <v>58.772443996604608</v>
      </c>
      <c r="F27" s="85">
        <v>54.44953744150699</v>
      </c>
      <c r="G27" s="85">
        <v>54.175006279374358</v>
      </c>
      <c r="H27" s="85">
        <v>55.342757829532665</v>
      </c>
      <c r="I27" s="85">
        <f>0.533023*100</f>
        <v>53.302300000000002</v>
      </c>
      <c r="J27" s="100"/>
      <c r="K27" s="82">
        <v>1176.9739999999999</v>
      </c>
      <c r="L27" s="82">
        <v>1127.9480000000001</v>
      </c>
      <c r="M27" s="82">
        <v>1199.2</v>
      </c>
      <c r="N27" s="82">
        <v>1137.4100000000001</v>
      </c>
      <c r="O27" s="82">
        <v>1166.8630000000001</v>
      </c>
      <c r="P27" s="82">
        <v>1221.501</v>
      </c>
      <c r="Q27" s="87">
        <f>1204302/1000</f>
        <v>1204.3019999999999</v>
      </c>
      <c r="R27" s="11"/>
    </row>
    <row r="28" spans="2:18" x14ac:dyDescent="0.25">
      <c r="B28" s="13" t="s">
        <v>18</v>
      </c>
      <c r="C28" s="85">
        <v>24.339614130471414</v>
      </c>
      <c r="D28" s="85">
        <v>19.485320249490982</v>
      </c>
      <c r="E28" s="85">
        <v>20.621962623234914</v>
      </c>
      <c r="F28" s="85">
        <v>17.483921155618319</v>
      </c>
      <c r="G28" s="85">
        <v>15.770631284887671</v>
      </c>
      <c r="H28" s="85">
        <v>13.575479032746212</v>
      </c>
      <c r="I28" s="85">
        <f>0.119774*100</f>
        <v>11.977400000000001</v>
      </c>
      <c r="J28" s="100"/>
      <c r="K28" s="82">
        <v>469.43400000000003</v>
      </c>
      <c r="L28" s="82">
        <v>386.53399999999999</v>
      </c>
      <c r="M28" s="82">
        <v>420.77300000000002</v>
      </c>
      <c r="N28" s="82">
        <v>365.226</v>
      </c>
      <c r="O28" s="82">
        <v>339.68</v>
      </c>
      <c r="P28" s="82">
        <v>299.63200000000001</v>
      </c>
      <c r="Q28" s="87">
        <f>270614/1000</f>
        <v>270.61399999999998</v>
      </c>
      <c r="R28" s="11"/>
    </row>
    <row r="29" spans="2:18" x14ac:dyDescent="0.25">
      <c r="B29" s="13" t="s">
        <v>19</v>
      </c>
      <c r="C29" s="85">
        <v>41.92233767809433</v>
      </c>
      <c r="D29" s="85">
        <v>37.388712816684219</v>
      </c>
      <c r="E29" s="85">
        <v>42.695102753757574</v>
      </c>
      <c r="F29" s="85">
        <v>40.372966956688252</v>
      </c>
      <c r="G29" s="85">
        <v>35.472174130649059</v>
      </c>
      <c r="H29" s="85">
        <v>38.443952307856812</v>
      </c>
      <c r="I29" s="85">
        <f>0.346097*100</f>
        <v>34.609699999999997</v>
      </c>
      <c r="J29" s="100"/>
      <c r="K29" s="82">
        <v>808.54899999999998</v>
      </c>
      <c r="L29" s="82">
        <v>741.68700000000001</v>
      </c>
      <c r="M29" s="82">
        <v>871.15599999999995</v>
      </c>
      <c r="N29" s="82">
        <v>843.36099999999999</v>
      </c>
      <c r="O29" s="82">
        <v>764.02700000000004</v>
      </c>
      <c r="P29" s="82">
        <v>848.51800000000003</v>
      </c>
      <c r="Q29" s="87">
        <f>781964/1000</f>
        <v>781.96400000000006</v>
      </c>
      <c r="R29" s="11"/>
    </row>
    <row r="30" spans="2:18" x14ac:dyDescent="0.25">
      <c r="B30" s="13" t="s">
        <v>20</v>
      </c>
      <c r="C30" s="85">
        <v>16.238179109786316</v>
      </c>
      <c r="D30" s="85">
        <v>21.390277554431851</v>
      </c>
      <c r="E30" s="85">
        <v>25.106743147952471</v>
      </c>
      <c r="F30" s="85">
        <v>18.37385257967615</v>
      </c>
      <c r="G30" s="85">
        <v>19.282345277840843</v>
      </c>
      <c r="H30" s="85">
        <v>19.402842390841428</v>
      </c>
      <c r="I30" s="85">
        <f>0.228972*100</f>
        <v>22.897200000000002</v>
      </c>
      <c r="J30" s="100"/>
      <c r="K30" s="82">
        <v>313.18299999999999</v>
      </c>
      <c r="L30" s="82">
        <v>424.32299999999998</v>
      </c>
      <c r="M30" s="82">
        <v>512.28099999999995</v>
      </c>
      <c r="N30" s="82">
        <v>383.81599999999997</v>
      </c>
      <c r="O30" s="82">
        <v>415.31799999999998</v>
      </c>
      <c r="P30" s="82">
        <v>428.25099999999998</v>
      </c>
      <c r="Q30" s="87">
        <f>517335/1000</f>
        <v>517.33500000000004</v>
      </c>
      <c r="R30" s="11"/>
    </row>
    <row r="31" spans="2:18" x14ac:dyDescent="0.25">
      <c r="B31" s="7" t="s">
        <v>21</v>
      </c>
      <c r="C31" s="85"/>
      <c r="D31" s="85"/>
      <c r="E31" s="85"/>
      <c r="F31" s="85"/>
      <c r="G31" s="85"/>
      <c r="H31" s="85"/>
      <c r="I31" s="85"/>
      <c r="J31" s="100"/>
      <c r="K31" s="82"/>
      <c r="L31" s="82"/>
      <c r="M31" s="82"/>
      <c r="N31" s="82"/>
      <c r="O31" s="82"/>
      <c r="P31" s="82"/>
      <c r="Q31" s="87"/>
      <c r="R31" s="11"/>
    </row>
    <row r="32" spans="2:18" ht="15" customHeight="1" x14ac:dyDescent="0.25">
      <c r="B32" s="15" t="s">
        <v>22</v>
      </c>
      <c r="C32" s="85">
        <v>12.999440550883687</v>
      </c>
      <c r="D32" s="85">
        <v>17.889227254464974</v>
      </c>
      <c r="E32" s="85">
        <v>16.618555468209362</v>
      </c>
      <c r="F32" s="85">
        <v>20.715296145146429</v>
      </c>
      <c r="G32" s="85">
        <v>11.775231361865139</v>
      </c>
      <c r="H32" s="85">
        <v>12.511440061327791</v>
      </c>
      <c r="I32" s="85">
        <f>0.224945*100</f>
        <v>22.494500000000002</v>
      </c>
      <c r="J32" s="100"/>
      <c r="K32" s="82">
        <v>250.71799999999999</v>
      </c>
      <c r="L32" s="82">
        <v>354.87200000000001</v>
      </c>
      <c r="M32" s="82">
        <v>339.08699999999999</v>
      </c>
      <c r="N32" s="82">
        <v>432.72699999999998</v>
      </c>
      <c r="O32" s="82">
        <v>253.624</v>
      </c>
      <c r="P32" s="82">
        <v>276.14699999999999</v>
      </c>
      <c r="Q32" s="87">
        <f>508237/1000</f>
        <v>508.23700000000002</v>
      </c>
      <c r="R32" s="11"/>
    </row>
    <row r="33" spans="1:18" ht="15" customHeight="1" thickBot="1" x14ac:dyDescent="0.3">
      <c r="A33" s="17"/>
      <c r="B33" s="35" t="s">
        <v>23</v>
      </c>
      <c r="C33" s="86">
        <v>51.776471301919493</v>
      </c>
      <c r="D33" s="86">
        <v>54.75896535749267</v>
      </c>
      <c r="E33" s="86">
        <v>55.108184033420706</v>
      </c>
      <c r="F33" s="86">
        <v>52.811182785403979</v>
      </c>
      <c r="G33" s="86">
        <v>47.614093098166698</v>
      </c>
      <c r="H33" s="86">
        <v>46.274028659505717</v>
      </c>
      <c r="I33" s="101">
        <f>0.555835*100</f>
        <v>55.583499999999994</v>
      </c>
      <c r="J33" s="100"/>
      <c r="K33" s="83">
        <v>998.60400000000004</v>
      </c>
      <c r="L33" s="83">
        <v>1086.2639999999999</v>
      </c>
      <c r="M33" s="83">
        <v>1124.434</v>
      </c>
      <c r="N33" s="83">
        <v>1103.1859999999999</v>
      </c>
      <c r="O33" s="83">
        <v>1025.549</v>
      </c>
      <c r="P33" s="83">
        <v>1021.34</v>
      </c>
      <c r="Q33" s="89">
        <f>1255842/1000</f>
        <v>1255.8420000000001</v>
      </c>
      <c r="R33" s="18"/>
    </row>
    <row r="34" spans="1:18" ht="15.75" thickTop="1" x14ac:dyDescent="0.25">
      <c r="B34" s="19" t="s">
        <v>63</v>
      </c>
    </row>
    <row r="35" spans="1:18" x14ac:dyDescent="0.25">
      <c r="B35" s="19" t="s">
        <v>35</v>
      </c>
    </row>
    <row r="36" spans="1:18" x14ac:dyDescent="0.25">
      <c r="B36" s="27"/>
      <c r="C36" s="27"/>
      <c r="D36" s="95"/>
      <c r="E36" s="95"/>
    </row>
    <row r="37" spans="1:18" x14ac:dyDescent="0.25">
      <c r="B37" s="27"/>
      <c r="C37" s="28"/>
      <c r="D37" s="95"/>
      <c r="E37" s="95"/>
    </row>
    <row r="38" spans="1:18" x14ac:dyDescent="0.25">
      <c r="B38" s="80"/>
      <c r="C38" s="80"/>
      <c r="D38" s="80"/>
      <c r="E38" s="80"/>
    </row>
    <row r="39" spans="1:18" x14ac:dyDescent="0.25">
      <c r="B39" s="80"/>
      <c r="C39" s="80"/>
      <c r="D39" s="80"/>
      <c r="E39" s="80"/>
    </row>
  </sheetData>
  <mergeCells count="9">
    <mergeCell ref="B4:R4"/>
    <mergeCell ref="B9:R9"/>
    <mergeCell ref="B10:R10"/>
    <mergeCell ref="B38:E38"/>
    <mergeCell ref="B39:E39"/>
    <mergeCell ref="C12:I12"/>
    <mergeCell ref="K12:Q12"/>
    <mergeCell ref="B11:B13"/>
    <mergeCell ref="C11:R11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BF202-2E57-4567-A561-53592D0CF9DE}">
  <dimension ref="A4:R39"/>
  <sheetViews>
    <sheetView zoomScaleNormal="100" workbookViewId="0">
      <selection activeCell="L2" sqref="L2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10.5703125" style="2" customWidth="1"/>
    <col min="17" max="17" width="10.4257812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.75" customHeight="1" x14ac:dyDescent="0.25">
      <c r="A9" s="1"/>
      <c r="B9" s="70" t="s">
        <v>71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2">
        <v>2008</v>
      </c>
      <c r="D13" s="22">
        <v>2010</v>
      </c>
      <c r="E13" s="22">
        <v>2012</v>
      </c>
      <c r="F13" s="22">
        <v>2014</v>
      </c>
      <c r="G13" s="22">
        <v>2016</v>
      </c>
      <c r="H13" s="22">
        <v>2018</v>
      </c>
      <c r="I13" s="22">
        <v>2020</v>
      </c>
      <c r="J13" s="56"/>
      <c r="K13" s="22">
        <v>2008</v>
      </c>
      <c r="L13" s="22">
        <v>2010</v>
      </c>
      <c r="M13" s="22">
        <v>2012</v>
      </c>
      <c r="N13" s="22">
        <v>2014</v>
      </c>
      <c r="O13" s="22">
        <v>2016</v>
      </c>
      <c r="P13" s="22">
        <v>2018</v>
      </c>
      <c r="Q13" s="22">
        <v>2020</v>
      </c>
      <c r="R13" s="6"/>
    </row>
    <row r="14" spans="1:18" ht="15" customHeight="1" x14ac:dyDescent="0.25">
      <c r="B14" s="7" t="s">
        <v>4</v>
      </c>
      <c r="C14" s="57"/>
      <c r="D14" s="54"/>
      <c r="E14" s="54"/>
      <c r="F14" s="54"/>
      <c r="G14" s="54"/>
      <c r="H14" s="54"/>
      <c r="I14" s="54"/>
      <c r="J14" s="55"/>
      <c r="K14" s="54"/>
      <c r="L14" s="54"/>
      <c r="M14" s="54"/>
      <c r="N14" s="54"/>
      <c r="O14" s="54"/>
      <c r="P14" s="54"/>
      <c r="Q14" s="54"/>
      <c r="R14" s="9"/>
    </row>
    <row r="15" spans="1:18" ht="15" customHeight="1" x14ac:dyDescent="0.25">
      <c r="B15" s="10" t="s">
        <v>5</v>
      </c>
      <c r="C15" s="93">
        <v>50.131569171749099</v>
      </c>
      <c r="D15" s="93">
        <v>60.247468471564922</v>
      </c>
      <c r="E15" s="93">
        <v>54.213690381564476</v>
      </c>
      <c r="F15" s="93">
        <v>52.345793789800275</v>
      </c>
      <c r="G15" s="93">
        <v>49.003874970953419</v>
      </c>
      <c r="H15" s="93">
        <v>46.761318605111946</v>
      </c>
      <c r="I15" s="93">
        <f>0.437571*100</f>
        <v>43.757100000000001</v>
      </c>
      <c r="J15" s="96"/>
      <c r="K15" s="84">
        <v>742.24300000000005</v>
      </c>
      <c r="L15" s="84">
        <v>911.49599999999998</v>
      </c>
      <c r="M15" s="84">
        <v>835.51700000000005</v>
      </c>
      <c r="N15" s="84">
        <v>819.78800000000001</v>
      </c>
      <c r="O15" s="84">
        <v>780.274</v>
      </c>
      <c r="P15" s="84">
        <v>755.21400000000006</v>
      </c>
      <c r="Q15" s="90">
        <f>716297/1000</f>
        <v>716.29700000000003</v>
      </c>
      <c r="R15" s="11"/>
    </row>
    <row r="16" spans="1:18" ht="15" customHeight="1" x14ac:dyDescent="0.25">
      <c r="B16" s="10" t="s">
        <v>6</v>
      </c>
      <c r="C16" s="93">
        <v>40.645958705651125</v>
      </c>
      <c r="D16" s="93">
        <v>49.40406630885969</v>
      </c>
      <c r="E16" s="93">
        <v>46.732547991603703</v>
      </c>
      <c r="F16" s="93">
        <v>46.635306407441156</v>
      </c>
      <c r="G16" s="93">
        <v>45.479786719589015</v>
      </c>
      <c r="H16" s="93">
        <v>43.39211412720428</v>
      </c>
      <c r="I16" s="93">
        <f>0.399634*100</f>
        <v>39.9634</v>
      </c>
      <c r="J16" s="96"/>
      <c r="K16" s="84">
        <v>601.79999999999995</v>
      </c>
      <c r="L16" s="84">
        <v>747.44399999999996</v>
      </c>
      <c r="M16" s="84">
        <v>720.221</v>
      </c>
      <c r="N16" s="84">
        <v>730.35599999999999</v>
      </c>
      <c r="O16" s="84">
        <v>724.16099999999994</v>
      </c>
      <c r="P16" s="84">
        <v>700.8</v>
      </c>
      <c r="Q16" s="90">
        <f>654195/1000</f>
        <v>654.19500000000005</v>
      </c>
      <c r="R16" s="11"/>
    </row>
    <row r="17" spans="2:18" ht="15" customHeight="1" x14ac:dyDescent="0.25">
      <c r="B17" s="10" t="s">
        <v>7</v>
      </c>
      <c r="C17" s="93">
        <v>9.4856104660979739</v>
      </c>
      <c r="D17" s="93">
        <v>10.843402162705232</v>
      </c>
      <c r="E17" s="93">
        <v>7.4811423899607767</v>
      </c>
      <c r="F17" s="93">
        <v>5.7104873823591191</v>
      </c>
      <c r="G17" s="93">
        <v>3.5240882513644047</v>
      </c>
      <c r="H17" s="93">
        <v>3.3692044779076684</v>
      </c>
      <c r="I17" s="93">
        <f>0.0379368*100</f>
        <v>3.7936800000000002</v>
      </c>
      <c r="J17" s="96"/>
      <c r="K17" s="84">
        <v>140.44300000000001</v>
      </c>
      <c r="L17" s="84">
        <v>164.05199999999999</v>
      </c>
      <c r="M17" s="84">
        <v>115.29600000000001</v>
      </c>
      <c r="N17" s="84">
        <v>89.432000000000002</v>
      </c>
      <c r="O17" s="84">
        <v>56.113</v>
      </c>
      <c r="P17" s="84">
        <v>54.414000000000001</v>
      </c>
      <c r="Q17" s="90">
        <f>62102/1000</f>
        <v>62.101999999999997</v>
      </c>
      <c r="R17" s="11"/>
    </row>
    <row r="18" spans="2:18" ht="15" customHeight="1" x14ac:dyDescent="0.25">
      <c r="B18" s="10" t="s">
        <v>8</v>
      </c>
      <c r="C18" s="93">
        <v>27.768592250386671</v>
      </c>
      <c r="D18" s="93">
        <v>18.354242127805833</v>
      </c>
      <c r="E18" s="93">
        <v>20.419944781673486</v>
      </c>
      <c r="F18" s="93">
        <v>24.375567093054663</v>
      </c>
      <c r="G18" s="93">
        <v>24.377649519239828</v>
      </c>
      <c r="H18" s="93">
        <v>28.7237467802655</v>
      </c>
      <c r="I18" s="93">
        <f>0.292213*100</f>
        <v>29.221299999999999</v>
      </c>
      <c r="J18" s="96"/>
      <c r="K18" s="84">
        <v>411.13900000000001</v>
      </c>
      <c r="L18" s="84">
        <v>277.685</v>
      </c>
      <c r="M18" s="84">
        <v>314.70299999999997</v>
      </c>
      <c r="N18" s="84">
        <v>381.74599999999998</v>
      </c>
      <c r="O18" s="84">
        <v>388.15800000000002</v>
      </c>
      <c r="P18" s="84">
        <v>463.9</v>
      </c>
      <c r="Q18" s="90">
        <f>478348/1000</f>
        <v>478.34800000000001</v>
      </c>
      <c r="R18" s="11"/>
    </row>
    <row r="19" spans="2:18" ht="15" customHeight="1" x14ac:dyDescent="0.25">
      <c r="B19" s="10" t="s">
        <v>9</v>
      </c>
      <c r="C19" s="93">
        <v>6.075686044077024</v>
      </c>
      <c r="D19" s="93">
        <v>6.8685720328900395</v>
      </c>
      <c r="E19" s="93">
        <v>6.4136313349403533</v>
      </c>
      <c r="F19" s="93">
        <v>7.3253896140798069</v>
      </c>
      <c r="G19" s="93">
        <v>8.9115539449967649</v>
      </c>
      <c r="H19" s="93">
        <v>7.7293441648504064</v>
      </c>
      <c r="I19" s="93">
        <f>0.0759623*100</f>
        <v>7.5962299999999994</v>
      </c>
      <c r="J19" s="96"/>
      <c r="K19" s="84">
        <v>89.956000000000003</v>
      </c>
      <c r="L19" s="84">
        <v>103.916</v>
      </c>
      <c r="M19" s="84">
        <v>98.843999999999994</v>
      </c>
      <c r="N19" s="84">
        <v>114.723</v>
      </c>
      <c r="O19" s="84">
        <v>141.89599999999999</v>
      </c>
      <c r="P19" s="84">
        <v>124.83199999999999</v>
      </c>
      <c r="Q19" s="90">
        <f>124349/1000</f>
        <v>124.349</v>
      </c>
      <c r="R19" s="11"/>
    </row>
    <row r="20" spans="2:18" ht="15" customHeight="1" x14ac:dyDescent="0.25">
      <c r="B20" s="10" t="s">
        <v>10</v>
      </c>
      <c r="C20" s="93">
        <v>16.024152533787205</v>
      </c>
      <c r="D20" s="93">
        <v>14.529717367739206</v>
      </c>
      <c r="E20" s="93">
        <v>18.952733501821687</v>
      </c>
      <c r="F20" s="93">
        <v>15.953249503065257</v>
      </c>
      <c r="G20" s="93">
        <v>17.706921564809988</v>
      </c>
      <c r="H20" s="93">
        <v>16.78559044977214</v>
      </c>
      <c r="I20" s="93">
        <f>0.194254*100</f>
        <v>19.4254</v>
      </c>
      <c r="J20" s="96"/>
      <c r="K20" s="84">
        <v>237.25200000000001</v>
      </c>
      <c r="L20" s="84">
        <v>219.82300000000001</v>
      </c>
      <c r="M20" s="84">
        <v>292.09100000000001</v>
      </c>
      <c r="N20" s="84">
        <v>249.84399999999999</v>
      </c>
      <c r="O20" s="84">
        <v>281.94200000000001</v>
      </c>
      <c r="P20" s="84">
        <v>271.09399999999999</v>
      </c>
      <c r="Q20" s="90">
        <f>317990/1000</f>
        <v>317.99</v>
      </c>
      <c r="R20" s="11"/>
    </row>
    <row r="21" spans="2:18" x14ac:dyDescent="0.25">
      <c r="B21" s="12" t="s">
        <v>11</v>
      </c>
      <c r="C21" s="93"/>
      <c r="D21" s="93"/>
      <c r="E21" s="93"/>
      <c r="F21" s="93"/>
      <c r="G21" s="93"/>
      <c r="H21" s="93"/>
      <c r="I21" s="93"/>
      <c r="J21" s="96"/>
      <c r="K21" s="84"/>
      <c r="L21" s="84"/>
      <c r="M21" s="84"/>
      <c r="N21" s="84"/>
      <c r="O21" s="84"/>
      <c r="P21" s="84"/>
      <c r="Q21" s="90"/>
      <c r="R21" s="11"/>
    </row>
    <row r="22" spans="2:18" x14ac:dyDescent="0.25">
      <c r="B22" s="13" t="s">
        <v>12</v>
      </c>
      <c r="C22" s="93">
        <v>77.900161422135767</v>
      </c>
      <c r="D22" s="93">
        <v>78.601710599370762</v>
      </c>
      <c r="E22" s="93">
        <v>74.633635163237969</v>
      </c>
      <c r="F22" s="93">
        <v>76.721360882854938</v>
      </c>
      <c r="G22" s="93">
        <v>73.381524490193257</v>
      </c>
      <c r="H22" s="93">
        <v>75.485065385377453</v>
      </c>
      <c r="I22" s="93">
        <f>0.729784*100</f>
        <v>72.978399999999993</v>
      </c>
      <c r="J22" s="96"/>
      <c r="K22" s="84">
        <v>1153.3820000000001</v>
      </c>
      <c r="L22" s="84">
        <v>1189.181</v>
      </c>
      <c r="M22" s="84">
        <v>1150.22</v>
      </c>
      <c r="N22" s="84">
        <v>1201.5340000000001</v>
      </c>
      <c r="O22" s="84">
        <v>1168.432</v>
      </c>
      <c r="P22" s="84">
        <v>1219.114</v>
      </c>
      <c r="Q22" s="90">
        <f>1194645/1000</f>
        <v>1194.645</v>
      </c>
      <c r="R22" s="11"/>
    </row>
    <row r="23" spans="2:18" x14ac:dyDescent="0.25">
      <c r="B23" s="13" t="s">
        <v>13</v>
      </c>
      <c r="C23" s="93">
        <v>24.959171681559379</v>
      </c>
      <c r="D23" s="93">
        <v>23.454643999682734</v>
      </c>
      <c r="E23" s="93">
        <v>15.234483228487724</v>
      </c>
      <c r="F23" s="93">
        <v>13.334197475130916</v>
      </c>
      <c r="G23" s="93">
        <v>10.285943966789551</v>
      </c>
      <c r="H23" s="93">
        <v>10.482093322766</v>
      </c>
      <c r="I23" s="93">
        <f>0.124933*100</f>
        <v>12.4933</v>
      </c>
      <c r="J23" s="96"/>
      <c r="K23" s="84">
        <v>369.54300000000001</v>
      </c>
      <c r="L23" s="84">
        <v>354.85</v>
      </c>
      <c r="M23" s="84">
        <v>234.78700000000001</v>
      </c>
      <c r="N23" s="84">
        <v>208.827</v>
      </c>
      <c r="O23" s="84">
        <v>163.78</v>
      </c>
      <c r="P23" s="84">
        <v>169.29</v>
      </c>
      <c r="Q23" s="90">
        <f>204514/1000</f>
        <v>204.51400000000001</v>
      </c>
      <c r="R23" s="11"/>
    </row>
    <row r="24" spans="2:18" x14ac:dyDescent="0.25">
      <c r="B24" s="14" t="s">
        <v>14</v>
      </c>
      <c r="C24" s="93"/>
      <c r="D24" s="93"/>
      <c r="E24" s="93"/>
      <c r="F24" s="93"/>
      <c r="G24" s="93"/>
      <c r="H24" s="93"/>
      <c r="I24" s="93"/>
      <c r="J24" s="96"/>
      <c r="K24" s="84"/>
      <c r="L24" s="84"/>
      <c r="M24" s="84"/>
      <c r="N24" s="84"/>
      <c r="O24" s="84"/>
      <c r="P24" s="84"/>
      <c r="Q24" s="90"/>
      <c r="R24" s="11"/>
    </row>
    <row r="25" spans="2:18" x14ac:dyDescent="0.25">
      <c r="B25" s="15" t="s">
        <v>15</v>
      </c>
      <c r="C25" s="93">
        <v>24.533733173937417</v>
      </c>
      <c r="D25" s="93">
        <v>22.855735927874573</v>
      </c>
      <c r="E25" s="93">
        <v>21.072896626231625</v>
      </c>
      <c r="F25" s="93">
        <v>21.614250932730393</v>
      </c>
      <c r="G25" s="93">
        <v>17.695616949386725</v>
      </c>
      <c r="H25" s="93">
        <v>17.752501486031306</v>
      </c>
      <c r="I25" s="93">
        <f>0.124933*100</f>
        <v>12.4933</v>
      </c>
      <c r="J25" s="96"/>
      <c r="K25" s="84">
        <v>363.24400000000003</v>
      </c>
      <c r="L25" s="84">
        <v>345.78899999999999</v>
      </c>
      <c r="M25" s="84">
        <v>324.76600000000002</v>
      </c>
      <c r="N25" s="84">
        <v>338.50099999999998</v>
      </c>
      <c r="O25" s="84">
        <v>281.762</v>
      </c>
      <c r="P25" s="84">
        <v>286.70999999999998</v>
      </c>
      <c r="Q25" s="90">
        <f>292094/1000</f>
        <v>292.09399999999999</v>
      </c>
      <c r="R25" s="11"/>
    </row>
    <row r="26" spans="2:18" x14ac:dyDescent="0.25">
      <c r="B26" s="13" t="s">
        <v>16</v>
      </c>
      <c r="C26" s="93">
        <v>32.055194213117744</v>
      </c>
      <c r="D26" s="93">
        <v>25.551516273167117</v>
      </c>
      <c r="E26" s="93">
        <v>16.746271465232248</v>
      </c>
      <c r="F26" s="93">
        <v>14.859961139160246</v>
      </c>
      <c r="G26" s="93">
        <v>11.47707361188743</v>
      </c>
      <c r="H26" s="93">
        <v>11.682558945908461</v>
      </c>
      <c r="I26" s="93">
        <f>0.238027*100</f>
        <v>23.802699999999998</v>
      </c>
      <c r="J26" s="96"/>
      <c r="K26" s="84">
        <v>474.60599999999999</v>
      </c>
      <c r="L26" s="84">
        <v>386.57400000000001</v>
      </c>
      <c r="M26" s="84">
        <v>258.08600000000001</v>
      </c>
      <c r="N26" s="84">
        <v>232.72200000000001</v>
      </c>
      <c r="O26" s="84">
        <v>182.74600000000001</v>
      </c>
      <c r="P26" s="84">
        <v>188.678</v>
      </c>
      <c r="Q26" s="90">
        <f>389646/1000</f>
        <v>389.64600000000002</v>
      </c>
      <c r="R26" s="11"/>
    </row>
    <row r="27" spans="2:18" x14ac:dyDescent="0.25">
      <c r="B27" s="13" t="s">
        <v>17</v>
      </c>
      <c r="C27" s="93">
        <v>67.842751875941346</v>
      </c>
      <c r="D27" s="93">
        <v>66.557385717685008</v>
      </c>
      <c r="E27" s="93">
        <v>62.947854044531539</v>
      </c>
      <c r="F27" s="93">
        <v>63.369220759069819</v>
      </c>
      <c r="G27" s="93">
        <v>60.44157083911648</v>
      </c>
      <c r="H27" s="93">
        <v>62.639748860709332</v>
      </c>
      <c r="I27" s="93">
        <f>0.611095*100</f>
        <v>61.109500000000004</v>
      </c>
      <c r="J27" s="96"/>
      <c r="K27" s="84">
        <v>1004.473</v>
      </c>
      <c r="L27" s="84">
        <v>1006.96</v>
      </c>
      <c r="M27" s="84">
        <v>970.12400000000002</v>
      </c>
      <c r="N27" s="84">
        <v>992.42600000000004</v>
      </c>
      <c r="O27" s="84">
        <v>962.39300000000003</v>
      </c>
      <c r="P27" s="84">
        <v>1011.657</v>
      </c>
      <c r="Q27" s="90">
        <f>1000352/1000</f>
        <v>1000.352</v>
      </c>
      <c r="R27" s="11"/>
    </row>
    <row r="28" spans="2:18" x14ac:dyDescent="0.25">
      <c r="B28" s="13" t="s">
        <v>18</v>
      </c>
      <c r="C28" s="93">
        <v>9.5505845642615448</v>
      </c>
      <c r="D28" s="93">
        <v>5.860455278534225</v>
      </c>
      <c r="E28" s="93">
        <v>5.127258452264698</v>
      </c>
      <c r="F28" s="93">
        <v>4.8852532499500354</v>
      </c>
      <c r="G28" s="93">
        <v>5.1467401885358637</v>
      </c>
      <c r="H28" s="93">
        <v>5.4183178125619182</v>
      </c>
      <c r="I28" s="93">
        <f>0.0338983*100</f>
        <v>3.3898299999999999</v>
      </c>
      <c r="J28" s="96"/>
      <c r="K28" s="84">
        <v>141.405</v>
      </c>
      <c r="L28" s="84">
        <v>88.664000000000001</v>
      </c>
      <c r="M28" s="84">
        <v>79.019000000000005</v>
      </c>
      <c r="N28" s="84">
        <v>76.507999999999996</v>
      </c>
      <c r="O28" s="84">
        <v>81.95</v>
      </c>
      <c r="P28" s="84">
        <v>87.507999999999996</v>
      </c>
      <c r="Q28" s="90">
        <f>55491/1000</f>
        <v>55.491</v>
      </c>
      <c r="R28" s="11"/>
    </row>
    <row r="29" spans="2:18" x14ac:dyDescent="0.25">
      <c r="B29" s="13" t="s">
        <v>19</v>
      </c>
      <c r="C29" s="93">
        <v>14.589184041496972</v>
      </c>
      <c r="D29" s="93">
        <v>17.81891970494144</v>
      </c>
      <c r="E29" s="93">
        <v>10.905587043483621</v>
      </c>
      <c r="F29" s="93">
        <v>13.347415013463371</v>
      </c>
      <c r="G29" s="93">
        <v>10.743906498269766</v>
      </c>
      <c r="H29" s="93">
        <v>10.445623637804637</v>
      </c>
      <c r="I29" s="93">
        <f>0.0733465*100</f>
        <v>7.3346499999999999</v>
      </c>
      <c r="J29" s="96"/>
      <c r="K29" s="84">
        <v>216.006</v>
      </c>
      <c r="L29" s="84">
        <v>269.58600000000001</v>
      </c>
      <c r="M29" s="84">
        <v>168.072</v>
      </c>
      <c r="N29" s="84">
        <v>209.03399999999999</v>
      </c>
      <c r="O29" s="84">
        <v>171.072</v>
      </c>
      <c r="P29" s="84">
        <v>168.70099999999999</v>
      </c>
      <c r="Q29" s="90">
        <f>120067/1000</f>
        <v>120.06699999999999</v>
      </c>
      <c r="R29" s="11"/>
    </row>
    <row r="30" spans="2:18" x14ac:dyDescent="0.25">
      <c r="B30" s="13" t="s">
        <v>20</v>
      </c>
      <c r="C30" s="93">
        <v>19.678709163238977</v>
      </c>
      <c r="D30" s="93">
        <v>24.890674986119556</v>
      </c>
      <c r="E30" s="93">
        <v>22.310150504005115</v>
      </c>
      <c r="F30" s="93">
        <v>16.831864611541654</v>
      </c>
      <c r="G30" s="93">
        <v>15.064028085688985</v>
      </c>
      <c r="H30" s="93">
        <v>16.635439369922729</v>
      </c>
      <c r="I30" s="93">
        <f>0.164393*100</f>
        <v>16.439300000000003</v>
      </c>
      <c r="J30" s="96"/>
      <c r="K30" s="84">
        <v>291.36099999999999</v>
      </c>
      <c r="L30" s="84">
        <v>376.57600000000002</v>
      </c>
      <c r="M30" s="84">
        <v>343.834</v>
      </c>
      <c r="N30" s="84">
        <v>263.60399999999998</v>
      </c>
      <c r="O30" s="84">
        <v>239.86</v>
      </c>
      <c r="P30" s="84">
        <v>268.66899999999998</v>
      </c>
      <c r="Q30" s="90">
        <f>269108/1000</f>
        <v>269.108</v>
      </c>
      <c r="R30" s="11"/>
    </row>
    <row r="31" spans="2:18" x14ac:dyDescent="0.25">
      <c r="B31" s="7" t="s">
        <v>21</v>
      </c>
      <c r="C31" s="93"/>
      <c r="D31" s="93"/>
      <c r="E31" s="93"/>
      <c r="F31" s="93"/>
      <c r="G31" s="93"/>
      <c r="H31" s="93"/>
      <c r="I31" s="93"/>
      <c r="J31" s="96"/>
      <c r="K31" s="84"/>
      <c r="L31" s="84"/>
      <c r="M31" s="84"/>
      <c r="N31" s="84"/>
      <c r="O31" s="84"/>
      <c r="P31" s="84"/>
      <c r="Q31" s="90"/>
      <c r="R31" s="11"/>
    </row>
    <row r="32" spans="2:18" ht="15" customHeight="1" x14ac:dyDescent="0.25">
      <c r="B32" s="15" t="s">
        <v>22</v>
      </c>
      <c r="C32" s="93">
        <v>22.313267008422319</v>
      </c>
      <c r="D32" s="93">
        <v>29.671099595484229</v>
      </c>
      <c r="E32" s="93">
        <v>30.25795588373655</v>
      </c>
      <c r="F32" s="93">
        <v>26.708047565259204</v>
      </c>
      <c r="G32" s="93">
        <v>21.002970601719557</v>
      </c>
      <c r="H32" s="93">
        <v>17.157036358232613</v>
      </c>
      <c r="I32" s="93">
        <f>0.191659*100</f>
        <v>19.165900000000001</v>
      </c>
      <c r="J32" s="96"/>
      <c r="K32" s="84">
        <v>330.36799999999999</v>
      </c>
      <c r="L32" s="84">
        <v>448.9</v>
      </c>
      <c r="M32" s="84">
        <v>466.322</v>
      </c>
      <c r="N32" s="84">
        <v>418.27499999999998</v>
      </c>
      <c r="O32" s="84">
        <v>334.42399999999998</v>
      </c>
      <c r="P32" s="84">
        <v>277.09300000000002</v>
      </c>
      <c r="Q32" s="90">
        <f>313742/1000</f>
        <v>313.74200000000002</v>
      </c>
      <c r="R32" s="11"/>
    </row>
    <row r="33" spans="1:18" ht="15" customHeight="1" thickBot="1" x14ac:dyDescent="0.3">
      <c r="A33" s="17"/>
      <c r="B33" s="35" t="s">
        <v>23</v>
      </c>
      <c r="C33" s="94">
        <v>56.207255215826123</v>
      </c>
      <c r="D33" s="94">
        <v>67.116040504454972</v>
      </c>
      <c r="E33" s="94">
        <v>60.627321716504831</v>
      </c>
      <c r="F33" s="94">
        <v>59.671183403880079</v>
      </c>
      <c r="G33" s="94">
        <v>57.915428915950187</v>
      </c>
      <c r="H33" s="94">
        <v>54.490662769962348</v>
      </c>
      <c r="I33" s="97">
        <f>0.513533*100</f>
        <v>51.353300000000004</v>
      </c>
      <c r="J33" s="96"/>
      <c r="K33" s="50">
        <v>832.19899999999996</v>
      </c>
      <c r="L33" s="50">
        <v>1015.412</v>
      </c>
      <c r="M33" s="50">
        <v>934.36099999999999</v>
      </c>
      <c r="N33" s="50">
        <v>934.51099999999997</v>
      </c>
      <c r="O33" s="50">
        <v>922.17</v>
      </c>
      <c r="P33" s="50">
        <v>880.04600000000005</v>
      </c>
      <c r="Q33" s="92">
        <f>840646/1000</f>
        <v>840.64599999999996</v>
      </c>
      <c r="R33" s="18"/>
    </row>
    <row r="34" spans="1:18" ht="15.75" thickTop="1" x14ac:dyDescent="0.25">
      <c r="B34" s="19" t="s">
        <v>63</v>
      </c>
    </row>
    <row r="35" spans="1:18" x14ac:dyDescent="0.25">
      <c r="B35" s="19" t="s">
        <v>35</v>
      </c>
    </row>
    <row r="36" spans="1:18" x14ac:dyDescent="0.25">
      <c r="B36" s="27"/>
      <c r="C36" s="64"/>
      <c r="D36" s="95"/>
      <c r="E36" s="95"/>
    </row>
    <row r="37" spans="1:18" x14ac:dyDescent="0.25">
      <c r="B37" s="27"/>
      <c r="C37" s="63"/>
      <c r="D37" s="95"/>
      <c r="E37" s="95"/>
    </row>
    <row r="38" spans="1:18" x14ac:dyDescent="0.25">
      <c r="B38" s="80"/>
      <c r="C38" s="80"/>
      <c r="D38" s="80"/>
      <c r="E38" s="80"/>
    </row>
    <row r="39" spans="1:18" x14ac:dyDescent="0.25">
      <c r="B39" s="80"/>
      <c r="C39" s="80"/>
      <c r="D39" s="80"/>
      <c r="E39" s="80"/>
    </row>
  </sheetData>
  <mergeCells count="9">
    <mergeCell ref="B4:R4"/>
    <mergeCell ref="B9:R9"/>
    <mergeCell ref="B10:R10"/>
    <mergeCell ref="B38:E38"/>
    <mergeCell ref="B39:E39"/>
    <mergeCell ref="C12:I12"/>
    <mergeCell ref="K12:Q12"/>
    <mergeCell ref="B11:B13"/>
    <mergeCell ref="C11:R1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154CF-9F7B-48E3-8D87-1CC27DA7AE30}">
  <dimension ref="A4:R39"/>
  <sheetViews>
    <sheetView zoomScaleNormal="100" workbookViewId="0">
      <selection activeCell="F5" sqref="F5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8.140625" style="2" bestFit="1" customWidth="1"/>
    <col min="17" max="17" width="6.710937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x14ac:dyDescent="0.25">
      <c r="A6" s="1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x14ac:dyDescent="0.25">
      <c r="A7" s="1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x14ac:dyDescent="0.25">
      <c r="A8" s="1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15.75" customHeight="1" x14ac:dyDescent="0.25">
      <c r="A9" s="1"/>
      <c r="B9" s="70" t="s">
        <v>39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36">
        <v>37.636155359111243</v>
      </c>
      <c r="D15" s="36">
        <v>38.130727388214986</v>
      </c>
      <c r="E15" s="36">
        <v>37.758857252686994</v>
      </c>
      <c r="F15" s="36">
        <v>34.765918462991351</v>
      </c>
      <c r="G15" s="36">
        <v>28.219217820799585</v>
      </c>
      <c r="H15" s="36">
        <v>26.182958720738398</v>
      </c>
      <c r="I15" s="11">
        <v>27.534674999999996</v>
      </c>
      <c r="J15" s="11"/>
      <c r="K15" s="82">
        <v>435.32799999999997</v>
      </c>
      <c r="L15" s="82">
        <v>456.83699999999999</v>
      </c>
      <c r="M15" s="82">
        <v>467.56</v>
      </c>
      <c r="N15" s="82">
        <v>442.86599999999999</v>
      </c>
      <c r="O15" s="82">
        <v>369.65199999999999</v>
      </c>
      <c r="P15" s="82">
        <v>351.529</v>
      </c>
      <c r="Q15" s="82">
        <v>378.11799999999999</v>
      </c>
      <c r="R15" s="11"/>
    </row>
    <row r="16" spans="1:18" ht="15" customHeight="1" x14ac:dyDescent="0.25">
      <c r="B16" s="10" t="s">
        <v>6</v>
      </c>
      <c r="C16" s="36">
        <v>33.458058659519743</v>
      </c>
      <c r="D16" s="36">
        <v>34.364621423760163</v>
      </c>
      <c r="E16" s="36">
        <v>34.368668127296033</v>
      </c>
      <c r="F16" s="36">
        <v>32.669205425124289</v>
      </c>
      <c r="G16" s="36">
        <v>25.91527791561381</v>
      </c>
      <c r="H16" s="36">
        <v>25.017373175816537</v>
      </c>
      <c r="I16" s="11">
        <v>24.852847999999998</v>
      </c>
      <c r="J16" s="11"/>
      <c r="K16" s="82">
        <v>387.00099999999998</v>
      </c>
      <c r="L16" s="82">
        <v>411.71600000000001</v>
      </c>
      <c r="M16" s="82">
        <v>425.58</v>
      </c>
      <c r="N16" s="82">
        <v>416.15699999999998</v>
      </c>
      <c r="O16" s="82">
        <v>339.47199999999998</v>
      </c>
      <c r="P16" s="82">
        <v>335.88</v>
      </c>
      <c r="Q16" s="82">
        <v>341.29</v>
      </c>
      <c r="R16" s="11"/>
    </row>
    <row r="17" spans="2:18" ht="15" customHeight="1" x14ac:dyDescent="0.25">
      <c r="B17" s="10" t="s">
        <v>7</v>
      </c>
      <c r="C17" s="36">
        <v>4.1780966995915012</v>
      </c>
      <c r="D17" s="36">
        <v>3.7661059644548236</v>
      </c>
      <c r="E17" s="36">
        <v>3.390189125390966</v>
      </c>
      <c r="F17" s="36">
        <v>2.0967130378670662</v>
      </c>
      <c r="G17" s="36">
        <v>2.3039399051857732</v>
      </c>
      <c r="H17" s="36">
        <v>1.1655855449218562</v>
      </c>
      <c r="I17" s="11">
        <v>2.6818268999999999</v>
      </c>
      <c r="J17" s="11"/>
      <c r="K17" s="82">
        <v>48.326999999999998</v>
      </c>
      <c r="L17" s="82">
        <v>45.121000000000002</v>
      </c>
      <c r="M17" s="82">
        <v>41.98</v>
      </c>
      <c r="N17" s="82">
        <v>26.709</v>
      </c>
      <c r="O17" s="82">
        <v>30.18</v>
      </c>
      <c r="P17" s="82">
        <v>15.648999999999999</v>
      </c>
      <c r="Q17" s="82">
        <v>36.828000000000003</v>
      </c>
      <c r="R17" s="11"/>
    </row>
    <row r="18" spans="2:18" ht="15" customHeight="1" x14ac:dyDescent="0.25">
      <c r="B18" s="10" t="s">
        <v>8</v>
      </c>
      <c r="C18" s="36">
        <v>30.75185337281432</v>
      </c>
      <c r="D18" s="36">
        <v>26.211917224294517</v>
      </c>
      <c r="E18" s="36">
        <v>24.480589592490869</v>
      </c>
      <c r="F18" s="36">
        <v>25.310652501744705</v>
      </c>
      <c r="G18" s="36">
        <v>27.967830342079345</v>
      </c>
      <c r="H18" s="36">
        <v>29.626608927391668</v>
      </c>
      <c r="I18" s="11">
        <v>29.716590999999998</v>
      </c>
      <c r="J18" s="11"/>
      <c r="K18" s="82">
        <v>355.69900000000001</v>
      </c>
      <c r="L18" s="82">
        <v>314.04000000000002</v>
      </c>
      <c r="M18" s="82">
        <v>303.13799999999998</v>
      </c>
      <c r="N18" s="82">
        <v>322.42</v>
      </c>
      <c r="O18" s="82">
        <v>366.35899999999998</v>
      </c>
      <c r="P18" s="82">
        <v>397.76299999999998</v>
      </c>
      <c r="Q18" s="82">
        <v>408.08100000000002</v>
      </c>
      <c r="R18" s="11"/>
    </row>
    <row r="19" spans="2:18" ht="15" customHeight="1" x14ac:dyDescent="0.25">
      <c r="B19" s="10" t="s">
        <v>9</v>
      </c>
      <c r="C19" s="36">
        <v>7.694382605312641</v>
      </c>
      <c r="D19" s="36">
        <v>8.0852630164404573</v>
      </c>
      <c r="E19" s="36">
        <v>10.129381181462337</v>
      </c>
      <c r="F19" s="36">
        <v>8.9183114822691198</v>
      </c>
      <c r="G19" s="36">
        <v>10.622476010168484</v>
      </c>
      <c r="H19" s="36">
        <v>10.281121446878302</v>
      </c>
      <c r="I19" s="11">
        <v>9.3740874999999999</v>
      </c>
      <c r="J19" s="11"/>
      <c r="K19" s="82">
        <v>88.998999999999995</v>
      </c>
      <c r="L19" s="82">
        <v>96.867999999999995</v>
      </c>
      <c r="M19" s="82">
        <v>125.43</v>
      </c>
      <c r="N19" s="82">
        <v>113.60599999999999</v>
      </c>
      <c r="O19" s="82">
        <v>139.14699999999999</v>
      </c>
      <c r="P19" s="82">
        <v>138.03299999999999</v>
      </c>
      <c r="Q19" s="82">
        <v>128.72900000000001</v>
      </c>
      <c r="R19" s="11"/>
    </row>
    <row r="20" spans="2:18" ht="15" customHeight="1" x14ac:dyDescent="0.25">
      <c r="B20" s="10" t="s">
        <v>10</v>
      </c>
      <c r="C20" s="36">
        <v>23.917608662761797</v>
      </c>
      <c r="D20" s="36">
        <v>27.57209237105004</v>
      </c>
      <c r="E20" s="36">
        <v>27.631171973359802</v>
      </c>
      <c r="F20" s="36">
        <v>31.005117552994815</v>
      </c>
      <c r="G20" s="36">
        <v>33.190475826952586</v>
      </c>
      <c r="H20" s="36">
        <v>33.909310904991628</v>
      </c>
      <c r="I20" s="11">
        <v>33.374647000000003</v>
      </c>
      <c r="J20" s="11"/>
      <c r="K20" s="82">
        <v>276.649</v>
      </c>
      <c r="L20" s="82">
        <v>330.33600000000001</v>
      </c>
      <c r="M20" s="82">
        <v>342.15100000000001</v>
      </c>
      <c r="N20" s="82">
        <v>394.959</v>
      </c>
      <c r="O20" s="82">
        <v>434.77199999999999</v>
      </c>
      <c r="P20" s="82">
        <v>455.262</v>
      </c>
      <c r="Q20" s="82">
        <v>458.315</v>
      </c>
      <c r="R20" s="11"/>
    </row>
    <row r="21" spans="2:18" x14ac:dyDescent="0.25">
      <c r="B21" s="12" t="s">
        <v>11</v>
      </c>
      <c r="C21" s="36"/>
      <c r="D21" s="36"/>
      <c r="E21" s="36"/>
      <c r="F21" s="36"/>
      <c r="G21" s="36"/>
      <c r="H21" s="36"/>
      <c r="J21" s="11"/>
      <c r="K21" s="82"/>
      <c r="L21" s="82"/>
      <c r="M21" s="82"/>
      <c r="N21" s="82"/>
      <c r="O21" s="82"/>
      <c r="P21" s="82"/>
      <c r="Q21" s="82"/>
      <c r="R21" s="11"/>
    </row>
    <row r="22" spans="2:18" x14ac:dyDescent="0.25">
      <c r="B22" s="13" t="s">
        <v>12</v>
      </c>
      <c r="C22" s="36">
        <v>68.388008731925567</v>
      </c>
      <c r="D22" s="36">
        <v>64.342644612509503</v>
      </c>
      <c r="E22" s="36">
        <v>62.239446845177859</v>
      </c>
      <c r="F22" s="36">
        <v>60.076570964736064</v>
      </c>
      <c r="G22" s="36">
        <v>56.187048162878931</v>
      </c>
      <c r="H22" s="36">
        <v>55.809567648130063</v>
      </c>
      <c r="I22" s="11">
        <v>57.251266000000001</v>
      </c>
      <c r="J22" s="11"/>
      <c r="K22" s="82">
        <v>791.02700000000004</v>
      </c>
      <c r="L22" s="82">
        <v>770.87699999999995</v>
      </c>
      <c r="M22" s="82">
        <v>770.69799999999998</v>
      </c>
      <c r="N22" s="82">
        <v>765.28599999999994</v>
      </c>
      <c r="O22" s="82">
        <v>736.01099999999997</v>
      </c>
      <c r="P22" s="82">
        <v>749.29200000000003</v>
      </c>
      <c r="Q22" s="82">
        <v>786.19899999999996</v>
      </c>
      <c r="R22" s="11"/>
    </row>
    <row r="23" spans="2:18" x14ac:dyDescent="0.25">
      <c r="B23" s="13" t="s">
        <v>13</v>
      </c>
      <c r="C23" s="36">
        <v>14.58084595932306</v>
      </c>
      <c r="D23" s="36">
        <v>12.286731865374712</v>
      </c>
      <c r="E23" s="36">
        <v>9.6252944611028699</v>
      </c>
      <c r="F23" s="36">
        <v>7.94103863010666</v>
      </c>
      <c r="G23" s="36">
        <v>7.6399502263479731</v>
      </c>
      <c r="H23" s="36">
        <v>5.7978365647812762</v>
      </c>
      <c r="I23" s="11">
        <v>9.1375671000000001</v>
      </c>
      <c r="J23" s="11"/>
      <c r="K23" s="82">
        <v>168.65299999999999</v>
      </c>
      <c r="L23" s="82">
        <v>147.20500000000001</v>
      </c>
      <c r="M23" s="82">
        <v>119.188</v>
      </c>
      <c r="N23" s="82">
        <v>101.157</v>
      </c>
      <c r="O23" s="82">
        <v>100.078</v>
      </c>
      <c r="P23" s="82">
        <v>77.840999999999994</v>
      </c>
      <c r="Q23" s="82">
        <v>125.48099999999999</v>
      </c>
      <c r="R23" s="11"/>
    </row>
    <row r="24" spans="2:18" x14ac:dyDescent="0.25">
      <c r="B24" s="14" t="s">
        <v>14</v>
      </c>
      <c r="C24" s="36"/>
      <c r="D24" s="36"/>
      <c r="E24" s="36"/>
      <c r="F24" s="36"/>
      <c r="G24" s="36"/>
      <c r="H24" s="36"/>
      <c r="J24" s="11"/>
      <c r="K24" s="82"/>
      <c r="L24" s="82"/>
      <c r="M24" s="82"/>
      <c r="N24" s="82"/>
      <c r="O24" s="82"/>
      <c r="P24" s="82"/>
      <c r="Q24" s="82"/>
      <c r="R24" s="11"/>
    </row>
    <row r="25" spans="2:18" x14ac:dyDescent="0.25">
      <c r="B25" s="15" t="s">
        <v>15</v>
      </c>
      <c r="C25" s="36">
        <v>18.075345278492229</v>
      </c>
      <c r="D25" s="36">
        <v>17.244576952643438</v>
      </c>
      <c r="E25" s="36">
        <v>15.31754959908066</v>
      </c>
      <c r="F25" s="36">
        <v>14.352463514178659</v>
      </c>
      <c r="G25" s="36">
        <v>13.945783362469749</v>
      </c>
      <c r="H25" s="36">
        <v>13.069618579652568</v>
      </c>
      <c r="I25" s="11">
        <v>12.323383</v>
      </c>
      <c r="J25" s="11"/>
      <c r="K25" s="82">
        <v>209.07300000000001</v>
      </c>
      <c r="L25" s="82">
        <v>206.60400000000001</v>
      </c>
      <c r="M25" s="82">
        <v>189.67400000000001</v>
      </c>
      <c r="N25" s="82">
        <v>182.82900000000001</v>
      </c>
      <c r="O25" s="82">
        <v>182.68</v>
      </c>
      <c r="P25" s="82">
        <v>175.471</v>
      </c>
      <c r="Q25" s="82">
        <v>169.23</v>
      </c>
      <c r="R25" s="11"/>
    </row>
    <row r="26" spans="2:18" x14ac:dyDescent="0.25">
      <c r="B26" s="13" t="s">
        <v>16</v>
      </c>
      <c r="C26" s="36">
        <v>23.194587935245423</v>
      </c>
      <c r="D26" s="36">
        <v>19.694828646811025</v>
      </c>
      <c r="E26" s="36">
        <v>14.758305680706851</v>
      </c>
      <c r="F26" s="36">
        <v>12.483956129877043</v>
      </c>
      <c r="G26" s="36">
        <v>12.141030436740895</v>
      </c>
      <c r="H26" s="36">
        <v>11.404326125606758</v>
      </c>
      <c r="I26" s="11">
        <v>20.200212000000001</v>
      </c>
      <c r="J26" s="11"/>
      <c r="K26" s="82">
        <v>268.286</v>
      </c>
      <c r="L26" s="82">
        <v>235.96</v>
      </c>
      <c r="M26" s="82">
        <v>182.749</v>
      </c>
      <c r="N26" s="82">
        <v>159.02699999999999</v>
      </c>
      <c r="O26" s="82">
        <v>159.03899999999999</v>
      </c>
      <c r="P26" s="82">
        <v>153.113</v>
      </c>
      <c r="Q26" s="82">
        <v>277.39800000000002</v>
      </c>
      <c r="R26" s="11"/>
    </row>
    <row r="27" spans="2:18" x14ac:dyDescent="0.25">
      <c r="B27" s="13" t="s">
        <v>17</v>
      </c>
      <c r="C27" s="36">
        <v>55.320638900296103</v>
      </c>
      <c r="D27" s="36">
        <v>49.261193525312564</v>
      </c>
      <c r="E27" s="36">
        <v>47.629411465429037</v>
      </c>
      <c r="F27" s="36">
        <v>43.191236651696315</v>
      </c>
      <c r="G27" s="36">
        <v>40.411701388623825</v>
      </c>
      <c r="H27" s="36">
        <v>42.318747313954333</v>
      </c>
      <c r="I27" s="11">
        <v>42.725213000000004</v>
      </c>
      <c r="J27" s="11"/>
      <c r="K27" s="82">
        <v>639.88</v>
      </c>
      <c r="L27" s="82">
        <v>590.18899999999996</v>
      </c>
      <c r="M27" s="82">
        <v>589.78499999999997</v>
      </c>
      <c r="N27" s="82">
        <v>550.19200000000001</v>
      </c>
      <c r="O27" s="82">
        <v>529.36500000000001</v>
      </c>
      <c r="P27" s="82">
        <v>568.16600000000005</v>
      </c>
      <c r="Q27" s="82">
        <v>586.721</v>
      </c>
      <c r="R27" s="11"/>
    </row>
    <row r="28" spans="2:18" x14ac:dyDescent="0.25">
      <c r="B28" s="13" t="s">
        <v>18</v>
      </c>
      <c r="C28" s="36">
        <v>7.9763978645686988</v>
      </c>
      <c r="D28" s="36">
        <v>6.8757454629528381</v>
      </c>
      <c r="E28" s="36">
        <v>4.9354789994823465</v>
      </c>
      <c r="F28" s="36">
        <v>3.3126323251306475</v>
      </c>
      <c r="G28" s="36">
        <v>5.4579252326460193</v>
      </c>
      <c r="H28" s="36">
        <v>4.5774314811628596</v>
      </c>
      <c r="I28" s="11">
        <v>3.9511579999999999</v>
      </c>
      <c r="J28" s="11"/>
      <c r="K28" s="82">
        <v>92.260999999999996</v>
      </c>
      <c r="L28" s="82">
        <v>82.376999999999995</v>
      </c>
      <c r="M28" s="82">
        <v>61.115000000000002</v>
      </c>
      <c r="N28" s="82">
        <v>42.198</v>
      </c>
      <c r="O28" s="82">
        <v>71.495000000000005</v>
      </c>
      <c r="P28" s="82">
        <v>61.456000000000003</v>
      </c>
      <c r="Q28" s="82">
        <v>54.259</v>
      </c>
      <c r="R28" s="11"/>
    </row>
    <row r="29" spans="2:18" x14ac:dyDescent="0.25">
      <c r="B29" s="13" t="s">
        <v>19</v>
      </c>
      <c r="C29" s="36">
        <v>3.4300041065986555</v>
      </c>
      <c r="D29" s="36">
        <v>4.7595279451055479</v>
      </c>
      <c r="E29" s="36">
        <v>3.4690889532972777</v>
      </c>
      <c r="F29" s="36">
        <v>3.5845636577590314</v>
      </c>
      <c r="G29" s="36">
        <v>2.2869160947531544</v>
      </c>
      <c r="H29" s="36">
        <v>2.4909372725938805</v>
      </c>
      <c r="I29" s="11">
        <v>2.0595043999999998</v>
      </c>
      <c r="J29" s="11"/>
      <c r="K29" s="82">
        <v>39.673999999999999</v>
      </c>
      <c r="L29" s="82">
        <v>57.023000000000003</v>
      </c>
      <c r="M29" s="82">
        <v>42.957000000000001</v>
      </c>
      <c r="N29" s="82">
        <v>45.661999999999999</v>
      </c>
      <c r="O29" s="82">
        <v>29.957000000000001</v>
      </c>
      <c r="P29" s="82">
        <v>33.442999999999998</v>
      </c>
      <c r="Q29" s="82">
        <v>28.282</v>
      </c>
      <c r="R29" s="11"/>
    </row>
    <row r="30" spans="2:18" x14ac:dyDescent="0.25">
      <c r="B30" s="13" t="s">
        <v>20</v>
      </c>
      <c r="C30" s="36">
        <v>20.111440119307495</v>
      </c>
      <c r="D30" s="36">
        <v>20.214409543261265</v>
      </c>
      <c r="E30" s="36">
        <v>21.508157693056248</v>
      </c>
      <c r="F30" s="36">
        <v>21.550872119266696</v>
      </c>
      <c r="G30" s="36">
        <v>17.194964616429885</v>
      </c>
      <c r="H30" s="36">
        <v>12.987910653089893</v>
      </c>
      <c r="I30" s="11">
        <v>17.449497000000001</v>
      </c>
      <c r="J30" s="11"/>
      <c r="K30" s="82">
        <v>232.624</v>
      </c>
      <c r="L30" s="82">
        <v>242.185</v>
      </c>
      <c r="M30" s="82">
        <v>266.33100000000002</v>
      </c>
      <c r="N30" s="82">
        <v>274.52600000000001</v>
      </c>
      <c r="O30" s="82">
        <v>225.24199999999999</v>
      </c>
      <c r="P30" s="82">
        <v>174.374</v>
      </c>
      <c r="Q30" s="82">
        <v>239.624</v>
      </c>
      <c r="R30" s="11"/>
    </row>
    <row r="31" spans="2:18" x14ac:dyDescent="0.25">
      <c r="B31" s="7" t="s">
        <v>21</v>
      </c>
      <c r="C31" s="36"/>
      <c r="D31" s="36"/>
      <c r="E31" s="36"/>
      <c r="F31" s="36"/>
      <c r="G31" s="36"/>
      <c r="H31" s="36"/>
      <c r="J31" s="11"/>
      <c r="K31" s="82"/>
      <c r="L31" s="82"/>
      <c r="M31" s="82"/>
      <c r="N31" s="82"/>
      <c r="O31" s="82"/>
      <c r="P31" s="82"/>
      <c r="Q31" s="82"/>
      <c r="R31" s="11"/>
    </row>
    <row r="32" spans="2:18" ht="15" customHeight="1" x14ac:dyDescent="0.25">
      <c r="B32" s="15" t="s">
        <v>22</v>
      </c>
      <c r="C32" s="36">
        <v>14.051483778935312</v>
      </c>
      <c r="D32" s="36">
        <v>14.848328284982401</v>
      </c>
      <c r="E32" s="36">
        <v>14.862886312373869</v>
      </c>
      <c r="F32" s="36">
        <v>12.906062011962153</v>
      </c>
      <c r="G32" s="36">
        <v>9.5645568847190301</v>
      </c>
      <c r="H32" s="36">
        <v>8.8462051248820384</v>
      </c>
      <c r="I32" s="11">
        <v>10.813527000000001</v>
      </c>
      <c r="J32" s="11"/>
      <c r="K32" s="82">
        <v>162.53</v>
      </c>
      <c r="L32" s="82">
        <v>177.89500000000001</v>
      </c>
      <c r="M32" s="82">
        <v>184.04400000000001</v>
      </c>
      <c r="N32" s="82">
        <v>164.404</v>
      </c>
      <c r="O32" s="82">
        <v>125.289</v>
      </c>
      <c r="P32" s="82">
        <v>118.768</v>
      </c>
      <c r="Q32" s="82">
        <v>148.49600000000001</v>
      </c>
      <c r="R32" s="11"/>
    </row>
    <row r="33" spans="1:18" ht="15" customHeight="1" thickBot="1" x14ac:dyDescent="0.3">
      <c r="A33" s="17"/>
      <c r="B33" s="35" t="s">
        <v>23</v>
      </c>
      <c r="C33" s="37">
        <v>45.33053796442389</v>
      </c>
      <c r="D33" s="37">
        <v>46.215990404655443</v>
      </c>
      <c r="E33" s="37">
        <v>47.888238434149329</v>
      </c>
      <c r="F33" s="37">
        <v>43.684229945260469</v>
      </c>
      <c r="G33" s="37">
        <v>38.841693830968069</v>
      </c>
      <c r="H33" s="37">
        <v>36.4640801676167</v>
      </c>
      <c r="I33" s="37">
        <v>36.908763</v>
      </c>
      <c r="J33" s="18"/>
      <c r="K33" s="83">
        <v>524.327</v>
      </c>
      <c r="L33" s="83">
        <v>553.70500000000004</v>
      </c>
      <c r="M33" s="83">
        <v>592.99</v>
      </c>
      <c r="N33" s="83">
        <v>556.47199999999998</v>
      </c>
      <c r="O33" s="83">
        <v>508.79899999999998</v>
      </c>
      <c r="P33" s="83">
        <v>489.56200000000001</v>
      </c>
      <c r="Q33" s="83">
        <v>506.84699999999998</v>
      </c>
      <c r="R33" s="18"/>
    </row>
    <row r="34" spans="1:18" ht="15.75" thickTop="1" x14ac:dyDescent="0.25">
      <c r="B34" s="19" t="s">
        <v>36</v>
      </c>
    </row>
    <row r="35" spans="1:18" x14ac:dyDescent="0.25">
      <c r="B35" s="19" t="s">
        <v>35</v>
      </c>
    </row>
    <row r="36" spans="1:18" x14ac:dyDescent="0.25">
      <c r="B36" s="34"/>
      <c r="C36" s="34"/>
      <c r="D36" s="32"/>
      <c r="E36" s="32"/>
    </row>
    <row r="37" spans="1:18" x14ac:dyDescent="0.25">
      <c r="B37" s="34"/>
      <c r="C37" s="33"/>
      <c r="D37" s="32"/>
      <c r="E37" s="32"/>
    </row>
    <row r="38" spans="1:18" x14ac:dyDescent="0.25">
      <c r="B38" s="81"/>
      <c r="C38" s="81"/>
      <c r="D38" s="81"/>
      <c r="E38" s="81"/>
    </row>
    <row r="39" spans="1:18" x14ac:dyDescent="0.25">
      <c r="B39" s="81"/>
      <c r="C39" s="81"/>
      <c r="D39" s="81"/>
      <c r="E39" s="81"/>
    </row>
  </sheetData>
  <mergeCells count="9">
    <mergeCell ref="B38:E38"/>
    <mergeCell ref="B39:E39"/>
    <mergeCell ref="B4:R4"/>
    <mergeCell ref="B9:R9"/>
    <mergeCell ref="B10:R10"/>
    <mergeCell ref="B11:B13"/>
    <mergeCell ref="C11:R11"/>
    <mergeCell ref="C12:I12"/>
    <mergeCell ref="K12:Q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4582A-285B-404B-A799-4360B5349107}">
  <dimension ref="A4:R39"/>
  <sheetViews>
    <sheetView zoomScaleNormal="100" workbookViewId="0">
      <selection activeCell="Q2" sqref="Q2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9.7109375" style="2" bestFit="1" customWidth="1"/>
    <col min="17" max="17" width="7.14062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x14ac:dyDescent="0.25">
      <c r="A6" s="1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x14ac:dyDescent="0.25">
      <c r="A7" s="1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x14ac:dyDescent="0.25">
      <c r="A8" s="1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15.75" customHeight="1" x14ac:dyDescent="0.25">
      <c r="A9" s="1"/>
      <c r="B9" s="70" t="s">
        <v>40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36">
        <v>25.963622371680277</v>
      </c>
      <c r="D15" s="36">
        <v>31.5201873293666</v>
      </c>
      <c r="E15" s="36">
        <v>30.209375999052572</v>
      </c>
      <c r="F15" s="36">
        <v>28.597979098791065</v>
      </c>
      <c r="G15" s="36">
        <v>22.232681189636324</v>
      </c>
      <c r="H15" s="36">
        <v>23.256853674609033</v>
      </c>
      <c r="I15" s="36">
        <v>23.117336999999999</v>
      </c>
      <c r="J15" s="11"/>
      <c r="K15" s="82">
        <v>809.721</v>
      </c>
      <c r="L15" s="82">
        <v>1019.795</v>
      </c>
      <c r="M15" s="82">
        <v>1010.139</v>
      </c>
      <c r="N15" s="82">
        <v>984.94500000000005</v>
      </c>
      <c r="O15" s="82">
        <v>789.10900000000004</v>
      </c>
      <c r="P15" s="82">
        <v>848.43700000000001</v>
      </c>
      <c r="Q15" s="82">
        <v>865.15800000000002</v>
      </c>
      <c r="R15" s="11"/>
    </row>
    <row r="16" spans="1:18" ht="15" customHeight="1" x14ac:dyDescent="0.25">
      <c r="B16" s="10" t="s">
        <v>6</v>
      </c>
      <c r="C16" s="36">
        <v>22.624640271910344</v>
      </c>
      <c r="D16" s="36">
        <v>28.147189302246943</v>
      </c>
      <c r="E16" s="36">
        <v>27.47260371679706</v>
      </c>
      <c r="F16" s="36">
        <v>25.533440163154047</v>
      </c>
      <c r="G16" s="36">
        <v>21.114692391782089</v>
      </c>
      <c r="H16" s="36">
        <v>21.631384528342849</v>
      </c>
      <c r="I16" s="36">
        <v>21.396571999999999</v>
      </c>
      <c r="J16" s="11"/>
      <c r="K16" s="82">
        <v>705.58900000000006</v>
      </c>
      <c r="L16" s="82">
        <v>910.66600000000005</v>
      </c>
      <c r="M16" s="82">
        <v>918.62699999999995</v>
      </c>
      <c r="N16" s="82">
        <v>879.399</v>
      </c>
      <c r="O16" s="82">
        <v>749.428</v>
      </c>
      <c r="P16" s="82">
        <v>789.13800000000003</v>
      </c>
      <c r="Q16" s="82">
        <v>800.75900000000001</v>
      </c>
      <c r="R16" s="11"/>
    </row>
    <row r="17" spans="2:18" ht="15" customHeight="1" x14ac:dyDescent="0.25">
      <c r="B17" s="10" t="s">
        <v>7</v>
      </c>
      <c r="C17" s="36">
        <v>3.3389820997699342</v>
      </c>
      <c r="D17" s="36">
        <v>3.3729980271196101</v>
      </c>
      <c r="E17" s="36">
        <v>2.7367722822555103</v>
      </c>
      <c r="F17" s="36">
        <v>3.064538935637017</v>
      </c>
      <c r="G17" s="36">
        <v>1.1179887978542369</v>
      </c>
      <c r="H17" s="36">
        <v>1.6254691462661823</v>
      </c>
      <c r="I17" s="36">
        <v>1.7207646999999999</v>
      </c>
      <c r="J17" s="11"/>
      <c r="K17" s="82">
        <v>104.13200000000001</v>
      </c>
      <c r="L17" s="82">
        <v>109.129</v>
      </c>
      <c r="M17" s="82">
        <v>91.512</v>
      </c>
      <c r="N17" s="82">
        <v>105.54600000000001</v>
      </c>
      <c r="O17" s="82">
        <v>39.680999999999997</v>
      </c>
      <c r="P17" s="82">
        <v>59.298999999999999</v>
      </c>
      <c r="Q17" s="82">
        <v>64.399000000000001</v>
      </c>
      <c r="R17" s="11"/>
    </row>
    <row r="18" spans="2:18" ht="15" customHeight="1" x14ac:dyDescent="0.25">
      <c r="B18" s="10" t="s">
        <v>8</v>
      </c>
      <c r="C18" s="36">
        <v>42.140941265120603</v>
      </c>
      <c r="D18" s="36">
        <v>37.888421451512052</v>
      </c>
      <c r="E18" s="36">
        <v>37.634476775326704</v>
      </c>
      <c r="F18" s="36">
        <v>38.313240558437933</v>
      </c>
      <c r="G18" s="36">
        <v>38.028129331815677</v>
      </c>
      <c r="H18" s="36">
        <v>39.767786989229506</v>
      </c>
      <c r="I18" s="36">
        <v>38.828536</v>
      </c>
      <c r="J18" s="11"/>
      <c r="K18" s="82">
        <v>1314.239</v>
      </c>
      <c r="L18" s="82">
        <v>1225.8309999999999</v>
      </c>
      <c r="M18" s="82">
        <v>1258.4190000000001</v>
      </c>
      <c r="N18" s="82">
        <v>1319.549</v>
      </c>
      <c r="O18" s="82">
        <v>1349.74</v>
      </c>
      <c r="P18" s="82">
        <v>1450.7750000000001</v>
      </c>
      <c r="Q18" s="82">
        <v>1453.144</v>
      </c>
      <c r="R18" s="11"/>
    </row>
    <row r="19" spans="2:18" ht="15" customHeight="1" x14ac:dyDescent="0.25">
      <c r="B19" s="10" t="s">
        <v>9</v>
      </c>
      <c r="C19" s="36">
        <v>5.4038654236174013</v>
      </c>
      <c r="D19" s="36">
        <v>6.349287299663624</v>
      </c>
      <c r="E19" s="36">
        <v>8.6121658846704925</v>
      </c>
      <c r="F19" s="36">
        <v>6.5822577521546233</v>
      </c>
      <c r="G19" s="36">
        <v>6.7316838154914187</v>
      </c>
      <c r="H19" s="36">
        <v>6.75482906793534</v>
      </c>
      <c r="I19" s="36">
        <v>6.3814375000000005</v>
      </c>
      <c r="J19" s="11"/>
      <c r="K19" s="82">
        <v>168.529</v>
      </c>
      <c r="L19" s="82">
        <v>205.423</v>
      </c>
      <c r="M19" s="82">
        <v>287.97300000000001</v>
      </c>
      <c r="N19" s="82">
        <v>226.7</v>
      </c>
      <c r="O19" s="82">
        <v>238.929</v>
      </c>
      <c r="P19" s="82">
        <v>246.42400000000001</v>
      </c>
      <c r="Q19" s="82">
        <v>238.82300000000001</v>
      </c>
      <c r="R19" s="11"/>
    </row>
    <row r="20" spans="2:18" ht="15" customHeight="1" x14ac:dyDescent="0.25">
      <c r="B20" s="10" t="s">
        <v>10</v>
      </c>
      <c r="C20" s="36">
        <v>26.491570939581717</v>
      </c>
      <c r="D20" s="36">
        <v>24.242103919457769</v>
      </c>
      <c r="E20" s="36">
        <v>23.543981340950232</v>
      </c>
      <c r="F20" s="36">
        <v>26.506522590616377</v>
      </c>
      <c r="G20" s="36">
        <v>33.007505663056584</v>
      </c>
      <c r="H20" s="36">
        <v>30.220530268226121</v>
      </c>
      <c r="I20" s="36">
        <v>31.672688999999998</v>
      </c>
      <c r="J20" s="11"/>
      <c r="K20" s="82">
        <v>826.18600000000004</v>
      </c>
      <c r="L20" s="82">
        <v>784.322</v>
      </c>
      <c r="M20" s="82">
        <v>787.26199999999994</v>
      </c>
      <c r="N20" s="82">
        <v>912.91300000000001</v>
      </c>
      <c r="O20" s="82">
        <v>1171.5419999999999</v>
      </c>
      <c r="P20" s="82">
        <v>1102.48</v>
      </c>
      <c r="Q20" s="82">
        <v>1185.3389999999999</v>
      </c>
      <c r="R20" s="11"/>
    </row>
    <row r="21" spans="2:18" x14ac:dyDescent="0.25">
      <c r="B21" s="12" t="s">
        <v>11</v>
      </c>
      <c r="C21" s="36"/>
      <c r="D21" s="36"/>
      <c r="E21" s="36"/>
      <c r="F21" s="36"/>
      <c r="G21" s="36"/>
      <c r="H21" s="36"/>
      <c r="I21" s="36"/>
      <c r="J21" s="11"/>
      <c r="K21" s="82"/>
      <c r="L21" s="82"/>
      <c r="M21" s="82"/>
      <c r="N21" s="82"/>
      <c r="O21" s="82"/>
      <c r="P21" s="82"/>
      <c r="Q21" s="82"/>
      <c r="R21" s="11"/>
    </row>
    <row r="22" spans="2:18" x14ac:dyDescent="0.25">
      <c r="B22" s="13" t="s">
        <v>12</v>
      </c>
      <c r="C22" s="36">
        <v>68.10456363680089</v>
      </c>
      <c r="D22" s="36">
        <v>69.408608780878609</v>
      </c>
      <c r="E22" s="36">
        <v>67.843852774379272</v>
      </c>
      <c r="F22" s="36">
        <v>66.911219657228997</v>
      </c>
      <c r="G22" s="36">
        <v>60.260810521452001</v>
      </c>
      <c r="H22" s="36">
        <v>63.024640663838539</v>
      </c>
      <c r="I22" s="36">
        <v>61.945872999999999</v>
      </c>
      <c r="J22" s="11"/>
      <c r="K22" s="82">
        <v>2123.96</v>
      </c>
      <c r="L22" s="82">
        <v>2245.6260000000002</v>
      </c>
      <c r="M22" s="82">
        <v>2268.558</v>
      </c>
      <c r="N22" s="82">
        <v>2304.4940000000001</v>
      </c>
      <c r="O22" s="82">
        <v>2138.8490000000002</v>
      </c>
      <c r="P22" s="82">
        <v>2299.212</v>
      </c>
      <c r="Q22" s="82">
        <v>2318.3020000000001</v>
      </c>
      <c r="R22" s="11"/>
    </row>
    <row r="23" spans="2:18" x14ac:dyDescent="0.25">
      <c r="B23" s="13" t="s">
        <v>13</v>
      </c>
      <c r="C23" s="36">
        <v>16.608174946090887</v>
      </c>
      <c r="D23" s="36">
        <v>15.981011142153404</v>
      </c>
      <c r="E23" s="36">
        <v>12.297023170991745</v>
      </c>
      <c r="F23" s="36">
        <v>14.136988194617647</v>
      </c>
      <c r="G23" s="36">
        <v>9.2537162047941575</v>
      </c>
      <c r="H23" s="36">
        <v>9.7006783775515917</v>
      </c>
      <c r="I23" s="36">
        <v>10.034245</v>
      </c>
      <c r="J23" s="11"/>
      <c r="K23" s="82">
        <v>517.95500000000004</v>
      </c>
      <c r="L23" s="82">
        <v>517.04499999999996</v>
      </c>
      <c r="M23" s="82">
        <v>411.18700000000001</v>
      </c>
      <c r="N23" s="82">
        <v>486.89299999999997</v>
      </c>
      <c r="O23" s="82">
        <v>328.44400000000002</v>
      </c>
      <c r="P23" s="82">
        <v>353.892</v>
      </c>
      <c r="Q23" s="82">
        <v>375.52800000000002</v>
      </c>
      <c r="R23" s="11"/>
    </row>
    <row r="24" spans="2:18" x14ac:dyDescent="0.25">
      <c r="B24" s="14" t="s">
        <v>14</v>
      </c>
      <c r="C24" s="36"/>
      <c r="D24" s="36"/>
      <c r="E24" s="36"/>
      <c r="F24" s="36"/>
      <c r="G24" s="36"/>
      <c r="H24" s="36"/>
      <c r="I24" s="36"/>
      <c r="J24" s="11"/>
      <c r="K24" s="82"/>
      <c r="L24" s="82"/>
      <c r="M24" s="82"/>
      <c r="N24" s="82"/>
      <c r="O24" s="82"/>
      <c r="P24" s="82"/>
      <c r="Q24" s="82"/>
      <c r="R24" s="11"/>
    </row>
    <row r="25" spans="2:18" x14ac:dyDescent="0.25">
      <c r="B25" s="15" t="s">
        <v>15</v>
      </c>
      <c r="C25" s="36">
        <v>17.952079007912015</v>
      </c>
      <c r="D25" s="36">
        <v>16.913021721465636</v>
      </c>
      <c r="E25" s="36">
        <v>14.613135442295622</v>
      </c>
      <c r="F25" s="36">
        <v>15.411803407966129</v>
      </c>
      <c r="G25" s="36">
        <v>13.302660791362852</v>
      </c>
      <c r="H25" s="36">
        <v>14.024033227013616</v>
      </c>
      <c r="I25" s="36">
        <v>13.292179000000001</v>
      </c>
      <c r="J25" s="11"/>
      <c r="K25" s="82">
        <v>559.86699999999996</v>
      </c>
      <c r="L25" s="82">
        <v>547.19899999999996</v>
      </c>
      <c r="M25" s="82">
        <v>488.63299999999998</v>
      </c>
      <c r="N25" s="82">
        <v>530.79899999999998</v>
      </c>
      <c r="O25" s="82">
        <v>472.154</v>
      </c>
      <c r="P25" s="82">
        <v>511.613</v>
      </c>
      <c r="Q25" s="82">
        <v>497.45499999999998</v>
      </c>
      <c r="R25" s="11"/>
    </row>
    <row r="26" spans="2:18" x14ac:dyDescent="0.25">
      <c r="B26" s="13" t="s">
        <v>16</v>
      </c>
      <c r="C26" s="36">
        <v>32.589000136275821</v>
      </c>
      <c r="D26" s="36">
        <v>31.356218498589499</v>
      </c>
      <c r="E26" s="36">
        <v>22.318247570947126</v>
      </c>
      <c r="F26" s="36">
        <v>19.354944547309362</v>
      </c>
      <c r="G26" s="36">
        <v>17.293622440354774</v>
      </c>
      <c r="H26" s="36">
        <v>16.860565837270524</v>
      </c>
      <c r="I26" s="36">
        <v>23.978187000000002</v>
      </c>
      <c r="J26" s="11"/>
      <c r="K26" s="82">
        <v>1016.345</v>
      </c>
      <c r="L26" s="82">
        <v>1014.49</v>
      </c>
      <c r="M26" s="82">
        <v>746.27599999999995</v>
      </c>
      <c r="N26" s="82">
        <v>666.60500000000002</v>
      </c>
      <c r="O26" s="82">
        <v>613.80600000000004</v>
      </c>
      <c r="P26" s="82">
        <v>615.09299999999996</v>
      </c>
      <c r="Q26" s="82">
        <v>897.375</v>
      </c>
      <c r="R26" s="11"/>
    </row>
    <row r="27" spans="2:18" x14ac:dyDescent="0.25">
      <c r="B27" s="13" t="s">
        <v>17</v>
      </c>
      <c r="C27" s="36">
        <v>55.098495354597709</v>
      </c>
      <c r="D27" s="36">
        <v>54.654072129595036</v>
      </c>
      <c r="E27" s="36">
        <v>55.706767733528963</v>
      </c>
      <c r="F27" s="36">
        <v>51.844672653898385</v>
      </c>
      <c r="G27" s="36">
        <v>42.980176484509705</v>
      </c>
      <c r="H27" s="36">
        <v>45.246176382549244</v>
      </c>
      <c r="I27" s="36">
        <v>46.922749000000003</v>
      </c>
      <c r="J27" s="11"/>
      <c r="K27" s="82">
        <v>1718.3430000000001</v>
      </c>
      <c r="L27" s="82">
        <v>1768.2619999999999</v>
      </c>
      <c r="M27" s="82">
        <v>1862.7190000000001</v>
      </c>
      <c r="N27" s="82">
        <v>1785.586</v>
      </c>
      <c r="O27" s="82">
        <v>1525.5039999999999</v>
      </c>
      <c r="P27" s="82">
        <v>1650.633</v>
      </c>
      <c r="Q27" s="82">
        <v>1756.067</v>
      </c>
      <c r="R27" s="11"/>
    </row>
    <row r="28" spans="2:18" x14ac:dyDescent="0.25">
      <c r="B28" s="13" t="s">
        <v>18</v>
      </c>
      <c r="C28" s="36">
        <v>8.0024689972504355</v>
      </c>
      <c r="D28" s="36">
        <v>9.9111972011865106</v>
      </c>
      <c r="E28" s="36">
        <v>8.0746924226469758</v>
      </c>
      <c r="F28" s="36">
        <v>10.645894567154853</v>
      </c>
      <c r="G28" s="36">
        <v>7.7655438224786728</v>
      </c>
      <c r="H28" s="36">
        <v>9.4692438507986054</v>
      </c>
      <c r="I28" s="36">
        <v>6.7925837000000007</v>
      </c>
      <c r="J28" s="11"/>
      <c r="K28" s="82">
        <v>249.571</v>
      </c>
      <c r="L28" s="82">
        <v>320.66399999999999</v>
      </c>
      <c r="M28" s="82">
        <v>270.00099999999998</v>
      </c>
      <c r="N28" s="82">
        <v>366.65600000000001</v>
      </c>
      <c r="O28" s="82">
        <v>275.62400000000002</v>
      </c>
      <c r="P28" s="82">
        <v>345.44900000000001</v>
      </c>
      <c r="Q28" s="82">
        <v>254.21</v>
      </c>
      <c r="R28" s="11"/>
    </row>
    <row r="29" spans="2:18" x14ac:dyDescent="0.25">
      <c r="B29" s="13" t="s">
        <v>19</v>
      </c>
      <c r="C29" s="36">
        <v>6.9004946010725714</v>
      </c>
      <c r="D29" s="36">
        <v>6.6257007310753542</v>
      </c>
      <c r="E29" s="36">
        <v>4.3970126141181582</v>
      </c>
      <c r="F29" s="36">
        <v>12.067917750522849</v>
      </c>
      <c r="G29" s="36">
        <v>6.2823583108877186</v>
      </c>
      <c r="H29" s="36">
        <v>8.9383670913973123</v>
      </c>
      <c r="I29" s="36">
        <v>4.9797940999999994</v>
      </c>
      <c r="J29" s="11"/>
      <c r="K29" s="82">
        <v>215.20400000000001</v>
      </c>
      <c r="L29" s="82">
        <v>214.36600000000001</v>
      </c>
      <c r="M29" s="82">
        <v>147.02699999999999</v>
      </c>
      <c r="N29" s="82">
        <v>415.63200000000001</v>
      </c>
      <c r="O29" s="82">
        <v>222.98099999999999</v>
      </c>
      <c r="P29" s="82">
        <v>326.08199999999999</v>
      </c>
      <c r="Q29" s="82">
        <v>186.36699999999999</v>
      </c>
      <c r="R29" s="11"/>
    </row>
    <row r="30" spans="2:18" x14ac:dyDescent="0.25">
      <c r="B30" s="13" t="s">
        <v>20</v>
      </c>
      <c r="C30" s="36">
        <v>14.132027223099552</v>
      </c>
      <c r="D30" s="36">
        <v>16.362543893729654</v>
      </c>
      <c r="E30" s="36">
        <v>15.248013259193977</v>
      </c>
      <c r="F30" s="36">
        <v>17.184164138919026</v>
      </c>
      <c r="G30" s="36">
        <v>14.948018211939187</v>
      </c>
      <c r="H30" s="36">
        <v>14.148755138268628</v>
      </c>
      <c r="I30" s="36">
        <v>12.663261</v>
      </c>
      <c r="J30" s="11"/>
      <c r="K30" s="82">
        <v>440.73200000000003</v>
      </c>
      <c r="L30" s="82">
        <v>529.38900000000001</v>
      </c>
      <c r="M30" s="82">
        <v>509.86200000000002</v>
      </c>
      <c r="N30" s="82">
        <v>591.84100000000001</v>
      </c>
      <c r="O30" s="82">
        <v>530.553</v>
      </c>
      <c r="P30" s="82">
        <v>516.16300000000001</v>
      </c>
      <c r="Q30" s="82">
        <v>473.91800000000001</v>
      </c>
      <c r="R30" s="11"/>
    </row>
    <row r="31" spans="2:18" x14ac:dyDescent="0.25">
      <c r="B31" s="7" t="s">
        <v>21</v>
      </c>
      <c r="C31" s="36"/>
      <c r="D31" s="36"/>
      <c r="E31" s="36"/>
      <c r="F31" s="36"/>
      <c r="G31" s="36"/>
      <c r="H31" s="36"/>
      <c r="I31" s="36"/>
      <c r="J31" s="11"/>
      <c r="K31" s="82"/>
      <c r="L31" s="82"/>
      <c r="M31" s="82"/>
      <c r="N31" s="82"/>
      <c r="O31" s="82"/>
      <c r="P31" s="82"/>
      <c r="Q31" s="82"/>
      <c r="R31" s="11"/>
    </row>
    <row r="32" spans="2:18" ht="15" customHeight="1" x14ac:dyDescent="0.25">
      <c r="B32" s="15" t="s">
        <v>22</v>
      </c>
      <c r="C32" s="36">
        <v>7.5960463979093689</v>
      </c>
      <c r="D32" s="36">
        <v>9.7890164682813801</v>
      </c>
      <c r="E32" s="36">
        <v>10.919904431883195</v>
      </c>
      <c r="F32" s="36">
        <v>9.6991760128242248</v>
      </c>
      <c r="G32" s="36">
        <v>5.3635344234952047</v>
      </c>
      <c r="H32" s="36">
        <v>5.7856987003702729</v>
      </c>
      <c r="I32" s="36">
        <v>6.5239105000000004</v>
      </c>
      <c r="J32" s="11"/>
      <c r="K32" s="82">
        <v>236.89599999999999</v>
      </c>
      <c r="L32" s="82">
        <v>316.71100000000001</v>
      </c>
      <c r="M32" s="82">
        <v>365.13900000000001</v>
      </c>
      <c r="N32" s="82">
        <v>334.05</v>
      </c>
      <c r="O32" s="82">
        <v>190.369</v>
      </c>
      <c r="P32" s="82">
        <v>211.06899999999999</v>
      </c>
      <c r="Q32" s="82">
        <v>244.155</v>
      </c>
      <c r="R32" s="11"/>
    </row>
    <row r="33" spans="1:18" ht="15" customHeight="1" thickBot="1" x14ac:dyDescent="0.3">
      <c r="A33" s="17"/>
      <c r="B33" s="35" t="s">
        <v>23</v>
      </c>
      <c r="C33" s="37">
        <v>31.367487795297684</v>
      </c>
      <c r="D33" s="37">
        <v>37.869474629030179</v>
      </c>
      <c r="E33" s="37">
        <v>38.821541883723064</v>
      </c>
      <c r="F33" s="37">
        <v>35.18023685094569</v>
      </c>
      <c r="G33" s="37">
        <v>28.964365005127739</v>
      </c>
      <c r="H33" s="37">
        <v>30.01168274254437</v>
      </c>
      <c r="I33" s="37">
        <v>29.498774000000001</v>
      </c>
      <c r="J33" s="18"/>
      <c r="K33" s="83">
        <v>978.25</v>
      </c>
      <c r="L33" s="83">
        <v>1225.2180000000001</v>
      </c>
      <c r="M33" s="83">
        <v>1298.1120000000001</v>
      </c>
      <c r="N33" s="83">
        <v>1211.645</v>
      </c>
      <c r="O33" s="83">
        <v>1028.038</v>
      </c>
      <c r="P33" s="83">
        <v>1094.8610000000001</v>
      </c>
      <c r="Q33" s="83">
        <v>1103.981</v>
      </c>
      <c r="R33" s="18"/>
    </row>
    <row r="34" spans="1:18" ht="15.75" thickTop="1" x14ac:dyDescent="0.25">
      <c r="B34" s="19" t="s">
        <v>36</v>
      </c>
    </row>
    <row r="35" spans="1:18" x14ac:dyDescent="0.25">
      <c r="B35" s="19" t="s">
        <v>35</v>
      </c>
    </row>
    <row r="36" spans="1:18" x14ac:dyDescent="0.25">
      <c r="B36" s="34"/>
      <c r="C36" s="34"/>
      <c r="D36" s="32"/>
      <c r="E36" s="32"/>
    </row>
    <row r="37" spans="1:18" x14ac:dyDescent="0.25">
      <c r="B37" s="34"/>
      <c r="C37" s="33"/>
      <c r="D37" s="32"/>
      <c r="E37" s="32"/>
    </row>
    <row r="38" spans="1:18" x14ac:dyDescent="0.25">
      <c r="B38" s="81"/>
      <c r="C38" s="81"/>
      <c r="D38" s="81"/>
      <c r="E38" s="81"/>
    </row>
    <row r="39" spans="1:18" x14ac:dyDescent="0.25">
      <c r="B39" s="81"/>
      <c r="C39" s="81"/>
      <c r="D39" s="81"/>
      <c r="E39" s="81"/>
    </row>
  </sheetData>
  <mergeCells count="9">
    <mergeCell ref="B4:R4"/>
    <mergeCell ref="B9:R9"/>
    <mergeCell ref="B10:R10"/>
    <mergeCell ref="B38:E38"/>
    <mergeCell ref="B39:E39"/>
    <mergeCell ref="C12:I12"/>
    <mergeCell ref="K12:Q12"/>
    <mergeCell ref="B11:B13"/>
    <mergeCell ref="C11:R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BE076-3966-4B3B-89A1-60D44E829A37}">
  <dimension ref="A4:R39"/>
  <sheetViews>
    <sheetView zoomScaleNormal="100" workbookViewId="0">
      <selection activeCell="S3" sqref="S3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8.140625" style="2" bestFit="1" customWidth="1"/>
    <col min="17" max="17" width="6.710937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x14ac:dyDescent="0.25">
      <c r="A6" s="1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x14ac:dyDescent="0.25">
      <c r="A7" s="1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x14ac:dyDescent="0.25">
      <c r="A8" s="1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15.75" customHeight="1" x14ac:dyDescent="0.25">
      <c r="A9" s="1"/>
      <c r="B9" s="70" t="s">
        <v>41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36">
        <v>21.36131411945291</v>
      </c>
      <c r="D15" s="36">
        <v>30.994688762716887</v>
      </c>
      <c r="E15" s="36">
        <v>30.108835356244139</v>
      </c>
      <c r="F15" s="36">
        <v>30.26270555013798</v>
      </c>
      <c r="G15" s="36">
        <v>22.126035335243913</v>
      </c>
      <c r="H15" s="36">
        <v>18.071515765028138</v>
      </c>
      <c r="I15" s="36">
        <v>27.351730000000003</v>
      </c>
      <c r="J15" s="11"/>
      <c r="K15" s="82">
        <v>130.536</v>
      </c>
      <c r="L15" s="82">
        <v>202.965</v>
      </c>
      <c r="M15" s="82">
        <v>211.30199999999999</v>
      </c>
      <c r="N15" s="82">
        <v>226.23400000000001</v>
      </c>
      <c r="O15" s="82">
        <v>175.642</v>
      </c>
      <c r="P15" s="82">
        <v>151.74199999999999</v>
      </c>
      <c r="Q15" s="82">
        <v>242.19</v>
      </c>
      <c r="R15" s="11"/>
    </row>
    <row r="16" spans="1:18" ht="15" customHeight="1" x14ac:dyDescent="0.25">
      <c r="B16" s="10" t="s">
        <v>6</v>
      </c>
      <c r="C16" s="36">
        <v>18.684931417181868</v>
      </c>
      <c r="D16" s="36">
        <v>26.368659118743871</v>
      </c>
      <c r="E16" s="36">
        <v>26.433255342735901</v>
      </c>
      <c r="F16" s="36">
        <v>26.316972258004967</v>
      </c>
      <c r="G16" s="36">
        <v>20.518250244071425</v>
      </c>
      <c r="H16" s="36">
        <v>16.572959776103851</v>
      </c>
      <c r="I16" s="36">
        <v>23.853116999999997</v>
      </c>
      <c r="J16" s="11"/>
      <c r="K16" s="82">
        <v>114.181</v>
      </c>
      <c r="L16" s="82">
        <v>172.672</v>
      </c>
      <c r="M16" s="82">
        <v>185.50700000000001</v>
      </c>
      <c r="N16" s="82">
        <v>196.73699999999999</v>
      </c>
      <c r="O16" s="82">
        <v>162.87899999999999</v>
      </c>
      <c r="P16" s="82">
        <v>139.15899999999999</v>
      </c>
      <c r="Q16" s="82">
        <v>211.21100000000001</v>
      </c>
      <c r="R16" s="11"/>
    </row>
    <row r="17" spans="2:18" ht="15" customHeight="1" x14ac:dyDescent="0.25">
      <c r="B17" s="10" t="s">
        <v>7</v>
      </c>
      <c r="C17" s="36">
        <v>2.6763827022710385</v>
      </c>
      <c r="D17" s="36">
        <v>4.6260296439730135</v>
      </c>
      <c r="E17" s="36">
        <v>3.6755800135082373</v>
      </c>
      <c r="F17" s="36">
        <v>3.9457332921330126</v>
      </c>
      <c r="G17" s="36">
        <v>1.6077850911724878</v>
      </c>
      <c r="H17" s="36">
        <v>1.4985559889242863</v>
      </c>
      <c r="I17" s="36">
        <v>3.4986136999999999</v>
      </c>
      <c r="J17" s="11"/>
      <c r="K17" s="82">
        <v>16.355</v>
      </c>
      <c r="L17" s="82">
        <v>30.292999999999999</v>
      </c>
      <c r="M17" s="82">
        <v>25.795000000000002</v>
      </c>
      <c r="N17" s="82">
        <v>29.497</v>
      </c>
      <c r="O17" s="82">
        <v>12.763</v>
      </c>
      <c r="P17" s="82">
        <v>12.583</v>
      </c>
      <c r="Q17" s="82">
        <v>30.978999999999999</v>
      </c>
      <c r="R17" s="11"/>
    </row>
    <row r="18" spans="2:18" ht="15" customHeight="1" x14ac:dyDescent="0.25">
      <c r="B18" s="10" t="s">
        <v>8</v>
      </c>
      <c r="C18" s="36">
        <v>44.569176842539349</v>
      </c>
      <c r="D18" s="36">
        <v>32.546064828247594</v>
      </c>
      <c r="E18" s="36">
        <v>29.959503786011283</v>
      </c>
      <c r="F18" s="36">
        <v>34.363475113267441</v>
      </c>
      <c r="G18" s="36">
        <v>37.835543098289925</v>
      </c>
      <c r="H18" s="36">
        <v>43.287224223657958</v>
      </c>
      <c r="I18" s="36">
        <v>33.883100999999996</v>
      </c>
      <c r="J18" s="11"/>
      <c r="K18" s="82">
        <v>272.35599999999999</v>
      </c>
      <c r="L18" s="82">
        <v>213.124</v>
      </c>
      <c r="M18" s="82">
        <v>210.25399999999999</v>
      </c>
      <c r="N18" s="82">
        <v>256.89</v>
      </c>
      <c r="O18" s="82">
        <v>300.34800000000001</v>
      </c>
      <c r="P18" s="82">
        <v>363.47199999999998</v>
      </c>
      <c r="Q18" s="82">
        <v>300.02300000000002</v>
      </c>
      <c r="R18" s="11"/>
    </row>
    <row r="19" spans="2:18" ht="15" customHeight="1" x14ac:dyDescent="0.25">
      <c r="B19" s="10" t="s">
        <v>9</v>
      </c>
      <c r="C19" s="36">
        <v>4.6808468857083945</v>
      </c>
      <c r="D19" s="36">
        <v>4.5411231480152345</v>
      </c>
      <c r="E19" s="36">
        <v>7.9151431901669147</v>
      </c>
      <c r="F19" s="36">
        <v>5.5994981051865587</v>
      </c>
      <c r="G19" s="36">
        <v>6.450288161748496</v>
      </c>
      <c r="H19" s="36">
        <v>4.6660910471313306</v>
      </c>
      <c r="I19" s="36">
        <v>7.0019707000000002</v>
      </c>
      <c r="J19" s="11"/>
      <c r="K19" s="82">
        <v>28.603999999999999</v>
      </c>
      <c r="L19" s="82">
        <v>29.736999999999998</v>
      </c>
      <c r="M19" s="82">
        <v>55.548000000000002</v>
      </c>
      <c r="N19" s="82">
        <v>41.86</v>
      </c>
      <c r="O19" s="82">
        <v>51.204000000000001</v>
      </c>
      <c r="P19" s="82">
        <v>39.18</v>
      </c>
      <c r="Q19" s="82">
        <v>62</v>
      </c>
      <c r="R19" s="11"/>
    </row>
    <row r="20" spans="2:18" ht="15" customHeight="1" x14ac:dyDescent="0.25">
      <c r="B20" s="10" t="s">
        <v>10</v>
      </c>
      <c r="C20" s="36">
        <v>29.38866215229935</v>
      </c>
      <c r="D20" s="36">
        <v>31.918123261020281</v>
      </c>
      <c r="E20" s="36">
        <v>32.016517667577666</v>
      </c>
      <c r="F20" s="36">
        <v>29.774321231408017</v>
      </c>
      <c r="G20" s="36">
        <v>33.588133404717659</v>
      </c>
      <c r="H20" s="36">
        <v>33.975168964182572</v>
      </c>
      <c r="I20" s="36">
        <v>31.763197999999999</v>
      </c>
      <c r="J20" s="11"/>
      <c r="K20" s="82">
        <v>179.59</v>
      </c>
      <c r="L20" s="82">
        <v>209.012</v>
      </c>
      <c r="M20" s="82">
        <v>224.69</v>
      </c>
      <c r="N20" s="82">
        <v>222.583</v>
      </c>
      <c r="O20" s="82">
        <v>266.63099999999997</v>
      </c>
      <c r="P20" s="82">
        <v>285.28100000000001</v>
      </c>
      <c r="Q20" s="82">
        <v>281.25200000000001</v>
      </c>
      <c r="R20" s="11"/>
    </row>
    <row r="21" spans="2:18" x14ac:dyDescent="0.25">
      <c r="B21" s="12" t="s">
        <v>11</v>
      </c>
      <c r="C21" s="36"/>
      <c r="D21" s="36"/>
      <c r="E21" s="36"/>
      <c r="F21" s="36"/>
      <c r="G21" s="36"/>
      <c r="H21" s="36"/>
      <c r="I21" s="36"/>
      <c r="J21" s="11"/>
      <c r="K21" s="82"/>
      <c r="L21" s="82"/>
      <c r="M21" s="82"/>
      <c r="N21" s="82"/>
      <c r="O21" s="82"/>
      <c r="P21" s="82"/>
      <c r="Q21" s="82"/>
      <c r="R21" s="11"/>
    </row>
    <row r="22" spans="2:18" x14ac:dyDescent="0.25">
      <c r="B22" s="13" t="s">
        <v>12</v>
      </c>
      <c r="C22" s="36">
        <v>65.930490961992263</v>
      </c>
      <c r="D22" s="36">
        <v>63.540753590964485</v>
      </c>
      <c r="E22" s="36">
        <v>60.068339142255425</v>
      </c>
      <c r="F22" s="36">
        <v>64.626180663405421</v>
      </c>
      <c r="G22" s="36">
        <v>59.961578433533838</v>
      </c>
      <c r="H22" s="36">
        <v>61.358739988686096</v>
      </c>
      <c r="I22" s="36">
        <v>61.234831</v>
      </c>
      <c r="J22" s="11"/>
      <c r="K22" s="82">
        <v>402.892</v>
      </c>
      <c r="L22" s="82">
        <v>416.089</v>
      </c>
      <c r="M22" s="82">
        <v>421.55599999999998</v>
      </c>
      <c r="N22" s="82">
        <v>483.12400000000002</v>
      </c>
      <c r="O22" s="82">
        <v>475.99</v>
      </c>
      <c r="P22" s="82">
        <v>515.21400000000006</v>
      </c>
      <c r="Q22" s="82">
        <v>542.21299999999997</v>
      </c>
      <c r="R22" s="11"/>
    </row>
    <row r="23" spans="2:18" x14ac:dyDescent="0.25">
      <c r="B23" s="13" t="s">
        <v>13</v>
      </c>
      <c r="C23" s="36">
        <v>17.383150653099563</v>
      </c>
      <c r="D23" s="36">
        <v>17.143934835791448</v>
      </c>
      <c r="E23" s="36">
        <v>13.37458000495872</v>
      </c>
      <c r="F23" s="36">
        <v>17.555349553953022</v>
      </c>
      <c r="G23" s="36">
        <v>12.888231033288195</v>
      </c>
      <c r="H23" s="36">
        <v>11.801708994551463</v>
      </c>
      <c r="I23" s="36">
        <v>13.098428999999999</v>
      </c>
      <c r="J23" s="11"/>
      <c r="K23" s="82">
        <v>106.226</v>
      </c>
      <c r="L23" s="82">
        <v>112.265</v>
      </c>
      <c r="M23" s="82">
        <v>93.861999999999995</v>
      </c>
      <c r="N23" s="82">
        <v>131.238</v>
      </c>
      <c r="O23" s="82">
        <v>102.31</v>
      </c>
      <c r="P23" s="82">
        <v>99.096000000000004</v>
      </c>
      <c r="Q23" s="82">
        <v>115.982</v>
      </c>
      <c r="R23" s="11"/>
    </row>
    <row r="24" spans="2:18" x14ac:dyDescent="0.25">
      <c r="B24" s="14" t="s">
        <v>14</v>
      </c>
      <c r="C24" s="36"/>
      <c r="D24" s="36"/>
      <c r="E24" s="36"/>
      <c r="F24" s="36"/>
      <c r="G24" s="36"/>
      <c r="H24" s="36"/>
      <c r="I24" s="36"/>
      <c r="J24" s="11"/>
      <c r="K24" s="40"/>
      <c r="L24" s="40"/>
      <c r="M24" s="40"/>
      <c r="N24" s="40"/>
      <c r="O24" s="40"/>
      <c r="P24" s="40"/>
      <c r="Q24" s="40"/>
      <c r="R24" s="11"/>
    </row>
    <row r="25" spans="2:18" x14ac:dyDescent="0.25">
      <c r="B25" s="15" t="s">
        <v>15</v>
      </c>
      <c r="C25" s="36">
        <v>16.566898930756064</v>
      </c>
      <c r="D25" s="36">
        <v>16.928767114920028</v>
      </c>
      <c r="E25" s="36">
        <v>15.687651932048436</v>
      </c>
      <c r="F25" s="36">
        <v>14.87425207372717</v>
      </c>
      <c r="G25" s="36">
        <v>13.383428337479922</v>
      </c>
      <c r="H25" s="36">
        <v>12.143150623753238</v>
      </c>
      <c r="I25" s="36">
        <v>12.394843</v>
      </c>
      <c r="J25" s="11"/>
      <c r="K25" s="82">
        <v>101.238</v>
      </c>
      <c r="L25" s="82">
        <v>110.85599999999999</v>
      </c>
      <c r="M25" s="82">
        <v>110.095</v>
      </c>
      <c r="N25" s="82">
        <v>111.19499999999999</v>
      </c>
      <c r="O25" s="82">
        <v>106.241</v>
      </c>
      <c r="P25" s="82">
        <v>101.96299999999999</v>
      </c>
      <c r="Q25" s="82">
        <v>109.752</v>
      </c>
      <c r="R25" s="11"/>
    </row>
    <row r="26" spans="2:18" x14ac:dyDescent="0.25">
      <c r="B26" s="13" t="s">
        <v>16</v>
      </c>
      <c r="C26" s="36">
        <v>25.190398732747926</v>
      </c>
      <c r="D26" s="36">
        <v>20.17934206628204</v>
      </c>
      <c r="E26" s="36">
        <v>15.126946083893564</v>
      </c>
      <c r="F26" s="36">
        <v>14.214913178350569</v>
      </c>
      <c r="G26" s="36">
        <v>12.463452272226247</v>
      </c>
      <c r="H26" s="36">
        <v>10.747491589007652</v>
      </c>
      <c r="I26" s="36">
        <v>17.395493000000002</v>
      </c>
      <c r="J26" s="11"/>
      <c r="K26" s="82">
        <v>153.935</v>
      </c>
      <c r="L26" s="82">
        <v>132.142</v>
      </c>
      <c r="M26" s="82">
        <v>106.16</v>
      </c>
      <c r="N26" s="82">
        <v>106.26600000000001</v>
      </c>
      <c r="O26" s="82">
        <v>98.938000000000002</v>
      </c>
      <c r="P26" s="82">
        <v>90.244</v>
      </c>
      <c r="Q26" s="82">
        <v>154.03100000000001</v>
      </c>
      <c r="R26" s="11"/>
    </row>
    <row r="27" spans="2:18" x14ac:dyDescent="0.25">
      <c r="B27" s="13" t="s">
        <v>17</v>
      </c>
      <c r="C27" s="36">
        <v>51.450368687876988</v>
      </c>
      <c r="D27" s="36">
        <v>45.937926632235758</v>
      </c>
      <c r="E27" s="36">
        <v>43.522458157237025</v>
      </c>
      <c r="F27" s="36">
        <v>46.62685752581374</v>
      </c>
      <c r="G27" s="36">
        <v>39.961704405882905</v>
      </c>
      <c r="H27" s="36">
        <v>41.058623872331559</v>
      </c>
      <c r="I27" s="36">
        <v>40.436380999999997</v>
      </c>
      <c r="J27" s="11"/>
      <c r="K27" s="82">
        <v>314.40600000000001</v>
      </c>
      <c r="L27" s="82">
        <v>300.81900000000002</v>
      </c>
      <c r="M27" s="82">
        <v>305.43799999999999</v>
      </c>
      <c r="N27" s="82">
        <v>348.56700000000001</v>
      </c>
      <c r="O27" s="82">
        <v>317.226</v>
      </c>
      <c r="P27" s="82">
        <v>344.75900000000001</v>
      </c>
      <c r="Q27" s="82">
        <v>358.05</v>
      </c>
      <c r="R27" s="11"/>
    </row>
    <row r="28" spans="2:18" x14ac:dyDescent="0.25">
      <c r="B28" s="13" t="s">
        <v>18</v>
      </c>
      <c r="C28" s="36">
        <v>14.687130780282972</v>
      </c>
      <c r="D28" s="36">
        <v>12.26364383252041</v>
      </c>
      <c r="E28" s="36">
        <v>10.911179063941841</v>
      </c>
      <c r="F28" s="36">
        <v>16.469560587880416</v>
      </c>
      <c r="G28" s="36">
        <v>13.126948634774669</v>
      </c>
      <c r="H28" s="36">
        <v>14.167267097388873</v>
      </c>
      <c r="I28" s="36">
        <v>11.360810000000001</v>
      </c>
      <c r="J28" s="11"/>
      <c r="K28" s="82">
        <v>89.751000000000005</v>
      </c>
      <c r="L28" s="82">
        <v>80.307000000000002</v>
      </c>
      <c r="M28" s="82">
        <v>76.573999999999998</v>
      </c>
      <c r="N28" s="82">
        <v>123.121</v>
      </c>
      <c r="O28" s="82">
        <v>104.205</v>
      </c>
      <c r="P28" s="82">
        <v>118.959</v>
      </c>
      <c r="Q28" s="82">
        <v>100.596</v>
      </c>
      <c r="R28" s="11"/>
    </row>
    <row r="29" spans="2:18" x14ac:dyDescent="0.25">
      <c r="B29" s="13" t="s">
        <v>19</v>
      </c>
      <c r="C29" s="36">
        <v>10.624691123671628</v>
      </c>
      <c r="D29" s="36">
        <v>9.156921253806285</v>
      </c>
      <c r="E29" s="36">
        <v>6.7659455623730045</v>
      </c>
      <c r="F29" s="36">
        <v>12.388722348632296</v>
      </c>
      <c r="G29" s="36">
        <v>12.823985135262811</v>
      </c>
      <c r="H29" s="36">
        <v>13.249769255962129</v>
      </c>
      <c r="I29" s="36">
        <v>9.4112133</v>
      </c>
      <c r="J29" s="11"/>
      <c r="K29" s="82">
        <v>64.926000000000002</v>
      </c>
      <c r="L29" s="82">
        <v>59.963000000000001</v>
      </c>
      <c r="M29" s="82">
        <v>47.482999999999997</v>
      </c>
      <c r="N29" s="82">
        <v>92.614000000000004</v>
      </c>
      <c r="O29" s="82">
        <v>101.8</v>
      </c>
      <c r="P29" s="82">
        <v>111.255</v>
      </c>
      <c r="Q29" s="82">
        <v>83.332999999999998</v>
      </c>
      <c r="R29" s="11"/>
    </row>
    <row r="30" spans="2:18" x14ac:dyDescent="0.25">
      <c r="B30" s="13" t="s">
        <v>20</v>
      </c>
      <c r="C30" s="36">
        <v>15.415669807522999</v>
      </c>
      <c r="D30" s="36">
        <v>26.032087325414839</v>
      </c>
      <c r="E30" s="36">
        <v>21.888901871489356</v>
      </c>
      <c r="F30" s="36">
        <v>24.566895007404018</v>
      </c>
      <c r="G30" s="36">
        <v>19.195288634144806</v>
      </c>
      <c r="H30" s="36">
        <v>17.842974960550212</v>
      </c>
      <c r="I30" s="36">
        <v>22.714506</v>
      </c>
      <c r="J30" s="11"/>
      <c r="K30" s="82">
        <v>94.203000000000003</v>
      </c>
      <c r="L30" s="82">
        <v>170.46799999999999</v>
      </c>
      <c r="M30" s="82">
        <v>153.61500000000001</v>
      </c>
      <c r="N30" s="82">
        <v>183.654</v>
      </c>
      <c r="O30" s="82">
        <v>152.37700000000001</v>
      </c>
      <c r="P30" s="82">
        <v>149.82300000000001</v>
      </c>
      <c r="Q30" s="82">
        <v>201.12899999999999</v>
      </c>
      <c r="R30" s="11"/>
    </row>
    <row r="31" spans="2:18" x14ac:dyDescent="0.25">
      <c r="B31" s="7" t="s">
        <v>21</v>
      </c>
      <c r="C31" s="36"/>
      <c r="D31" s="36"/>
      <c r="E31" s="36"/>
      <c r="F31" s="36"/>
      <c r="G31" s="36"/>
      <c r="H31" s="36"/>
      <c r="I31" s="36"/>
      <c r="J31" s="11"/>
      <c r="K31" s="82"/>
      <c r="L31" s="82"/>
      <c r="M31" s="82"/>
      <c r="N31" s="82"/>
      <c r="O31" s="82"/>
      <c r="P31" s="82"/>
      <c r="Q31" s="82"/>
      <c r="R31" s="11"/>
    </row>
    <row r="32" spans="2:18" ht="15" customHeight="1" x14ac:dyDescent="0.25">
      <c r="B32" s="15" t="s">
        <v>22</v>
      </c>
      <c r="C32" s="36">
        <v>7.6706061012688886</v>
      </c>
      <c r="D32" s="36">
        <v>11.230411185667295</v>
      </c>
      <c r="E32" s="36">
        <v>13.054400579087311</v>
      </c>
      <c r="F32" s="36">
        <v>10.561461380719054</v>
      </c>
      <c r="G32" s="36">
        <v>6.1125562938934905</v>
      </c>
      <c r="H32" s="36">
        <v>4.6358412481019444</v>
      </c>
      <c r="I32" s="36">
        <v>10.873496000000001</v>
      </c>
      <c r="J32" s="11"/>
      <c r="K32" s="82">
        <v>46.874000000000002</v>
      </c>
      <c r="L32" s="82">
        <v>73.540999999999997</v>
      </c>
      <c r="M32" s="82">
        <v>91.614999999999995</v>
      </c>
      <c r="N32" s="82">
        <v>78.953999999999994</v>
      </c>
      <c r="O32" s="82">
        <v>48.523000000000003</v>
      </c>
      <c r="P32" s="82">
        <v>38.926000000000002</v>
      </c>
      <c r="Q32" s="82">
        <v>96.281000000000006</v>
      </c>
      <c r="R32" s="11"/>
    </row>
    <row r="33" spans="1:18" ht="15" customHeight="1" thickBot="1" x14ac:dyDescent="0.3">
      <c r="A33" s="17"/>
      <c r="B33" s="35" t="s">
        <v>23</v>
      </c>
      <c r="C33" s="37">
        <v>26.042161005161301</v>
      </c>
      <c r="D33" s="37">
        <v>35.535811910732122</v>
      </c>
      <c r="E33" s="37">
        <v>38.023978546411051</v>
      </c>
      <c r="F33" s="37">
        <v>35.862203655324535</v>
      </c>
      <c r="G33" s="37">
        <v>28.576323496992412</v>
      </c>
      <c r="H33" s="37">
        <v>22.737606812159466</v>
      </c>
      <c r="I33" s="37">
        <v>34.353701000000001</v>
      </c>
      <c r="J33" s="18"/>
      <c r="K33" s="83">
        <v>159.13999999999999</v>
      </c>
      <c r="L33" s="83">
        <v>232.702</v>
      </c>
      <c r="M33" s="83">
        <v>266.85000000000002</v>
      </c>
      <c r="N33" s="83">
        <v>268.09399999999999</v>
      </c>
      <c r="O33" s="83">
        <v>226.846</v>
      </c>
      <c r="P33" s="83">
        <v>190.922</v>
      </c>
      <c r="Q33" s="83">
        <v>304.19</v>
      </c>
      <c r="R33" s="18"/>
    </row>
    <row r="34" spans="1:18" ht="15.75" thickTop="1" x14ac:dyDescent="0.25">
      <c r="B34" s="19" t="s">
        <v>36</v>
      </c>
    </row>
    <row r="35" spans="1:18" x14ac:dyDescent="0.25">
      <c r="B35" s="19" t="s">
        <v>35</v>
      </c>
    </row>
    <row r="36" spans="1:18" x14ac:dyDescent="0.25">
      <c r="B36" s="34"/>
      <c r="C36" s="34"/>
      <c r="D36" s="32"/>
      <c r="E36" s="32"/>
    </row>
    <row r="37" spans="1:18" x14ac:dyDescent="0.25">
      <c r="B37" s="34"/>
      <c r="C37" s="33"/>
      <c r="D37" s="32"/>
      <c r="E37" s="32"/>
    </row>
    <row r="38" spans="1:18" x14ac:dyDescent="0.25">
      <c r="B38" s="81"/>
      <c r="C38" s="81"/>
      <c r="D38" s="81"/>
      <c r="E38" s="81"/>
    </row>
    <row r="39" spans="1:18" x14ac:dyDescent="0.25">
      <c r="B39" s="81"/>
      <c r="C39" s="81"/>
      <c r="D39" s="81"/>
      <c r="E39" s="81"/>
    </row>
  </sheetData>
  <mergeCells count="9">
    <mergeCell ref="B4:R4"/>
    <mergeCell ref="B9:R9"/>
    <mergeCell ref="B10:R10"/>
    <mergeCell ref="B38:E38"/>
    <mergeCell ref="B39:E39"/>
    <mergeCell ref="C12:I12"/>
    <mergeCell ref="K12:Q12"/>
    <mergeCell ref="B11:B13"/>
    <mergeCell ref="C11:R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E7E52-DA47-4DCF-82C8-E070E6EDB88C}">
  <dimension ref="A4:R39"/>
  <sheetViews>
    <sheetView zoomScaleNormal="100" workbookViewId="0">
      <selection activeCell="K40" sqref="K40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8.140625" style="2" bestFit="1" customWidth="1"/>
    <col min="17" max="17" width="6.710937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x14ac:dyDescent="0.25">
      <c r="A6" s="1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x14ac:dyDescent="0.25">
      <c r="A7" s="1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x14ac:dyDescent="0.25">
      <c r="A8" s="1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15.75" customHeight="1" x14ac:dyDescent="0.25">
      <c r="A9" s="1"/>
      <c r="B9" s="70" t="s">
        <v>42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85">
        <v>45.857835424615509</v>
      </c>
      <c r="D15" s="85">
        <v>50.504995327086156</v>
      </c>
      <c r="E15" s="85">
        <v>44.664152681424333</v>
      </c>
      <c r="F15" s="85">
        <v>43.587796812740123</v>
      </c>
      <c r="G15" s="85">
        <v>43.767647373465692</v>
      </c>
      <c r="H15" s="85">
        <v>46.249365994629727</v>
      </c>
      <c r="I15" s="85">
        <v>48.537182000000001</v>
      </c>
      <c r="J15" s="11"/>
      <c r="K15" s="82">
        <v>373.07</v>
      </c>
      <c r="L15" s="82">
        <v>425.29599999999999</v>
      </c>
      <c r="M15" s="82">
        <v>387.89699999999999</v>
      </c>
      <c r="N15" s="82">
        <v>390.959</v>
      </c>
      <c r="O15" s="82">
        <v>405.03500000000003</v>
      </c>
      <c r="P15" s="82">
        <v>440.423</v>
      </c>
      <c r="Q15" s="85">
        <v>475.08</v>
      </c>
      <c r="R15" s="11"/>
    </row>
    <row r="16" spans="1:18" ht="15" customHeight="1" x14ac:dyDescent="0.25">
      <c r="B16" s="10" t="s">
        <v>6</v>
      </c>
      <c r="C16" s="85">
        <v>33.909132478464379</v>
      </c>
      <c r="D16" s="85">
        <v>36.720552626985096</v>
      </c>
      <c r="E16" s="85">
        <v>34.215953251388932</v>
      </c>
      <c r="F16" s="85">
        <v>32.525146441368825</v>
      </c>
      <c r="G16" s="85">
        <v>37.110353017707617</v>
      </c>
      <c r="H16" s="85">
        <v>36.478490022356894</v>
      </c>
      <c r="I16" s="85">
        <v>36.673219000000003</v>
      </c>
      <c r="J16" s="11"/>
      <c r="K16" s="82">
        <v>275.863</v>
      </c>
      <c r="L16" s="82">
        <v>309.21899999999999</v>
      </c>
      <c r="M16" s="82">
        <v>297.15699999999998</v>
      </c>
      <c r="N16" s="82">
        <v>291.733</v>
      </c>
      <c r="O16" s="82">
        <v>343.42700000000002</v>
      </c>
      <c r="P16" s="82">
        <v>347.37700000000001</v>
      </c>
      <c r="Q16" s="85">
        <v>358.95600000000002</v>
      </c>
      <c r="R16" s="11"/>
    </row>
    <row r="17" spans="2:18" ht="15" customHeight="1" x14ac:dyDescent="0.25">
      <c r="B17" s="10" t="s">
        <v>7</v>
      </c>
      <c r="C17" s="85">
        <v>11.948702946151123</v>
      </c>
      <c r="D17" s="85">
        <v>13.784442700101057</v>
      </c>
      <c r="E17" s="85">
        <v>10.448199430035407</v>
      </c>
      <c r="F17" s="85">
        <v>11.062650371371298</v>
      </c>
      <c r="G17" s="85">
        <v>6.6572943557580828</v>
      </c>
      <c r="H17" s="85">
        <v>9.7708759722728313</v>
      </c>
      <c r="I17" s="85">
        <v>11.863963</v>
      </c>
      <c r="J17" s="11"/>
      <c r="K17" s="82">
        <v>97.206999999999994</v>
      </c>
      <c r="L17" s="82">
        <v>116.077</v>
      </c>
      <c r="M17" s="82">
        <v>90.74</v>
      </c>
      <c r="N17" s="82">
        <v>99.225999999999999</v>
      </c>
      <c r="O17" s="82">
        <v>61.607999999999997</v>
      </c>
      <c r="P17" s="82">
        <v>93.046000000000006</v>
      </c>
      <c r="Q17" s="85">
        <v>116.124</v>
      </c>
      <c r="R17" s="11"/>
    </row>
    <row r="18" spans="2:18" ht="15" customHeight="1" x14ac:dyDescent="0.25">
      <c r="B18" s="10" t="s">
        <v>8</v>
      </c>
      <c r="C18" s="85">
        <v>29.459175746371397</v>
      </c>
      <c r="D18" s="85">
        <v>24.921890493500079</v>
      </c>
      <c r="E18" s="85">
        <v>28.601859581450245</v>
      </c>
      <c r="F18" s="85">
        <v>32.051650824018388</v>
      </c>
      <c r="G18" s="85">
        <v>31.332334148457836</v>
      </c>
      <c r="H18" s="85">
        <v>31.83688813887527</v>
      </c>
      <c r="I18" s="85">
        <v>25.163875000000001</v>
      </c>
      <c r="J18" s="11"/>
      <c r="K18" s="82">
        <v>239.661</v>
      </c>
      <c r="L18" s="82">
        <v>209.864</v>
      </c>
      <c r="M18" s="82">
        <v>248.4</v>
      </c>
      <c r="N18" s="82">
        <v>287.48599999999999</v>
      </c>
      <c r="O18" s="82">
        <v>289.95600000000002</v>
      </c>
      <c r="P18" s="82">
        <v>303.17599999999999</v>
      </c>
      <c r="Q18" s="85">
        <v>246.303</v>
      </c>
      <c r="R18" s="11"/>
    </row>
    <row r="19" spans="2:18" ht="15" customHeight="1" x14ac:dyDescent="0.25">
      <c r="B19" s="10" t="s">
        <v>9</v>
      </c>
      <c r="C19" s="85">
        <v>4.6361808205168549</v>
      </c>
      <c r="D19" s="85">
        <v>4.3196249318657101</v>
      </c>
      <c r="E19" s="85">
        <v>5.571490255908345</v>
      </c>
      <c r="F19" s="85">
        <v>3.9974535813750212</v>
      </c>
      <c r="G19" s="85">
        <v>4.7959793434555733</v>
      </c>
      <c r="H19" s="85">
        <v>4.594871881034865</v>
      </c>
      <c r="I19" s="85">
        <v>6.3081581999999994</v>
      </c>
      <c r="J19" s="11"/>
      <c r="K19" s="82">
        <v>37.716999999999999</v>
      </c>
      <c r="L19" s="82">
        <v>36.375</v>
      </c>
      <c r="M19" s="82">
        <v>48.387</v>
      </c>
      <c r="N19" s="82">
        <v>35.854999999999997</v>
      </c>
      <c r="O19" s="82">
        <v>44.383000000000003</v>
      </c>
      <c r="P19" s="82">
        <v>43.756</v>
      </c>
      <c r="Q19" s="85">
        <v>61.744</v>
      </c>
      <c r="R19" s="11"/>
    </row>
    <row r="20" spans="2:18" ht="15" customHeight="1" x14ac:dyDescent="0.25">
      <c r="B20" s="10" t="s">
        <v>10</v>
      </c>
      <c r="C20" s="85">
        <v>20.046808008496246</v>
      </c>
      <c r="D20" s="85">
        <v>20.253489247548057</v>
      </c>
      <c r="E20" s="85">
        <v>21.162497481217077</v>
      </c>
      <c r="F20" s="85">
        <v>20.363098781866469</v>
      </c>
      <c r="G20" s="85">
        <v>20.104039134620891</v>
      </c>
      <c r="H20" s="85">
        <v>17.318873985460144</v>
      </c>
      <c r="I20" s="85">
        <v>19.990784999999999</v>
      </c>
      <c r="J20" s="11"/>
      <c r="K20" s="82">
        <v>163.08799999999999</v>
      </c>
      <c r="L20" s="82">
        <v>170.55199999999999</v>
      </c>
      <c r="M20" s="82">
        <v>183.791</v>
      </c>
      <c r="N20" s="82">
        <v>182.64599999999999</v>
      </c>
      <c r="O20" s="82">
        <v>186.047</v>
      </c>
      <c r="P20" s="82">
        <v>164.92400000000001</v>
      </c>
      <c r="Q20" s="85">
        <v>195.66900000000001</v>
      </c>
      <c r="R20" s="11"/>
    </row>
    <row r="21" spans="2:18" x14ac:dyDescent="0.25">
      <c r="B21" s="12" t="s">
        <v>11</v>
      </c>
      <c r="C21" s="85"/>
      <c r="D21" s="85"/>
      <c r="E21" s="85"/>
      <c r="F21" s="85"/>
      <c r="G21" s="85"/>
      <c r="H21" s="85"/>
      <c r="I21" s="85"/>
      <c r="J21" s="11"/>
      <c r="K21" s="82"/>
      <c r="L21" s="82"/>
      <c r="M21" s="82"/>
      <c r="N21" s="82"/>
      <c r="O21" s="82"/>
      <c r="P21" s="82"/>
      <c r="Q21" s="85"/>
      <c r="R21" s="11"/>
    </row>
    <row r="22" spans="2:18" x14ac:dyDescent="0.25">
      <c r="B22" s="13" t="s">
        <v>12</v>
      </c>
      <c r="C22" s="85">
        <v>75.317011170986902</v>
      </c>
      <c r="D22" s="85">
        <v>75.426885820586236</v>
      </c>
      <c r="E22" s="85">
        <v>73.266012262874582</v>
      </c>
      <c r="F22" s="85">
        <v>75.639447636758518</v>
      </c>
      <c r="G22" s="85">
        <v>75.099981521923524</v>
      </c>
      <c r="H22" s="85">
        <v>78.086254133504994</v>
      </c>
      <c r="I22" s="85">
        <v>73.701057000000006</v>
      </c>
      <c r="J22" s="11"/>
      <c r="K22" s="82">
        <v>612.73099999999999</v>
      </c>
      <c r="L22" s="82">
        <v>635.16</v>
      </c>
      <c r="M22" s="82">
        <v>636.29700000000003</v>
      </c>
      <c r="N22" s="82">
        <v>678.44500000000005</v>
      </c>
      <c r="O22" s="82">
        <v>694.99099999999999</v>
      </c>
      <c r="P22" s="82">
        <v>743.59900000000005</v>
      </c>
      <c r="Q22" s="85">
        <v>721.38300000000004</v>
      </c>
      <c r="R22" s="11"/>
    </row>
    <row r="23" spans="2:18" x14ac:dyDescent="0.25">
      <c r="B23" s="13" t="s">
        <v>13</v>
      </c>
      <c r="C23" s="85">
        <v>35.473906501986392</v>
      </c>
      <c r="D23" s="85">
        <v>35.553096057770759</v>
      </c>
      <c r="E23" s="85">
        <v>26.880566510262245</v>
      </c>
      <c r="F23" s="85">
        <v>29.389617658142186</v>
      </c>
      <c r="G23" s="85">
        <v>23.502816555924277</v>
      </c>
      <c r="H23" s="85">
        <v>28.18743246464534</v>
      </c>
      <c r="I23" s="85">
        <v>27.975594999999998</v>
      </c>
      <c r="J23" s="11"/>
      <c r="K23" s="82">
        <v>288.59300000000002</v>
      </c>
      <c r="L23" s="82">
        <v>299.38799999999998</v>
      </c>
      <c r="M23" s="82">
        <v>233.45099999999999</v>
      </c>
      <c r="N23" s="82">
        <v>263.60899999999998</v>
      </c>
      <c r="O23" s="82">
        <v>217.5</v>
      </c>
      <c r="P23" s="82">
        <v>268.423</v>
      </c>
      <c r="Q23" s="85">
        <v>273.82400000000001</v>
      </c>
      <c r="R23" s="11"/>
    </row>
    <row r="24" spans="2:18" x14ac:dyDescent="0.25">
      <c r="B24" s="14" t="s">
        <v>14</v>
      </c>
      <c r="C24" s="85"/>
      <c r="D24" s="85"/>
      <c r="E24" s="85"/>
      <c r="F24" s="85"/>
      <c r="G24" s="85"/>
      <c r="H24" s="85"/>
      <c r="I24" s="85"/>
      <c r="J24" s="11"/>
      <c r="K24" s="82"/>
      <c r="L24" s="82"/>
      <c r="M24" s="82"/>
      <c r="N24" s="82"/>
      <c r="O24" s="82"/>
      <c r="P24" s="82"/>
      <c r="Q24" s="85"/>
      <c r="R24" s="11"/>
    </row>
    <row r="25" spans="2:18" x14ac:dyDescent="0.25">
      <c r="B25" s="15" t="s">
        <v>15</v>
      </c>
      <c r="C25" s="85">
        <v>22.851355072178738</v>
      </c>
      <c r="D25" s="85">
        <v>24.1064165579091</v>
      </c>
      <c r="E25" s="85">
        <v>19.234980857249777</v>
      </c>
      <c r="F25" s="85">
        <v>18.781621190127389</v>
      </c>
      <c r="G25" s="85">
        <v>17.192175237000239</v>
      </c>
      <c r="H25" s="85">
        <v>17.24736133003038</v>
      </c>
      <c r="I25" s="85">
        <v>16.521625</v>
      </c>
      <c r="J25" s="11"/>
      <c r="K25" s="82">
        <v>185.904</v>
      </c>
      <c r="L25" s="82">
        <v>202.99700000000001</v>
      </c>
      <c r="M25" s="82">
        <v>167.05099999999999</v>
      </c>
      <c r="N25" s="82">
        <v>168.46100000000001</v>
      </c>
      <c r="O25" s="82">
        <v>159.1</v>
      </c>
      <c r="P25" s="82">
        <v>164.24299999999999</v>
      </c>
      <c r="Q25" s="85">
        <v>161.71299999999999</v>
      </c>
      <c r="R25" s="11"/>
    </row>
    <row r="26" spans="2:18" x14ac:dyDescent="0.25">
      <c r="B26" s="13" t="s">
        <v>16</v>
      </c>
      <c r="C26" s="85">
        <v>23.28403414231208</v>
      </c>
      <c r="D26" s="85">
        <v>19.217729284503857</v>
      </c>
      <c r="E26" s="85">
        <v>12.193327384207951</v>
      </c>
      <c r="F26" s="85">
        <v>12.469647002160665</v>
      </c>
      <c r="G26" s="85">
        <v>10.742894315127925</v>
      </c>
      <c r="H26" s="85">
        <v>11.697517219218318</v>
      </c>
      <c r="I26" s="85">
        <v>21.008769999999998</v>
      </c>
      <c r="J26" s="11"/>
      <c r="K26" s="82">
        <v>189.42400000000001</v>
      </c>
      <c r="L26" s="82">
        <v>161.83000000000001</v>
      </c>
      <c r="M26" s="82">
        <v>105.896</v>
      </c>
      <c r="N26" s="82">
        <v>111.846</v>
      </c>
      <c r="O26" s="82">
        <v>99.417000000000002</v>
      </c>
      <c r="P26" s="82">
        <v>111.393</v>
      </c>
      <c r="Q26" s="85">
        <v>205.63300000000001</v>
      </c>
      <c r="R26" s="11"/>
    </row>
    <row r="27" spans="2:18" x14ac:dyDescent="0.25">
      <c r="B27" s="13" t="s">
        <v>17</v>
      </c>
      <c r="C27" s="85">
        <v>61.900886992093774</v>
      </c>
      <c r="D27" s="85">
        <v>59.9736131777358</v>
      </c>
      <c r="E27" s="85">
        <v>61.041595900860699</v>
      </c>
      <c r="F27" s="85">
        <v>60.143865962945377</v>
      </c>
      <c r="G27" s="85">
        <v>58.977049364559484</v>
      </c>
      <c r="H27" s="85">
        <v>61.548453761975217</v>
      </c>
      <c r="I27" s="85">
        <v>58.422184000000001</v>
      </c>
      <c r="J27" s="11"/>
      <c r="K27" s="82">
        <v>503.58600000000001</v>
      </c>
      <c r="L27" s="82">
        <v>505.03</v>
      </c>
      <c r="M27" s="82">
        <v>530.13099999999997</v>
      </c>
      <c r="N27" s="82">
        <v>539.45799999999997</v>
      </c>
      <c r="O27" s="82">
        <v>545.78599999999994</v>
      </c>
      <c r="P27" s="82">
        <v>586.11300000000006</v>
      </c>
      <c r="Q27" s="85">
        <v>571.83399999999995</v>
      </c>
      <c r="R27" s="11"/>
    </row>
    <row r="28" spans="2:18" x14ac:dyDescent="0.25">
      <c r="B28" s="13" t="s">
        <v>18</v>
      </c>
      <c r="C28" s="85">
        <v>25.151314754356292</v>
      </c>
      <c r="D28" s="85">
        <v>22.137498857006459</v>
      </c>
      <c r="E28" s="85">
        <v>17.658424249402689</v>
      </c>
      <c r="F28" s="85">
        <v>19.54242507352728</v>
      </c>
      <c r="G28" s="85">
        <v>16.881181645975182</v>
      </c>
      <c r="H28" s="85">
        <v>16.531079652076755</v>
      </c>
      <c r="I28" s="85">
        <v>13.512314999999999</v>
      </c>
      <c r="J28" s="11"/>
      <c r="K28" s="82">
        <v>204.61500000000001</v>
      </c>
      <c r="L28" s="82">
        <v>186.417</v>
      </c>
      <c r="M28" s="82">
        <v>153.35900000000001</v>
      </c>
      <c r="N28" s="82">
        <v>175.285</v>
      </c>
      <c r="O28" s="82">
        <v>156.22200000000001</v>
      </c>
      <c r="P28" s="82">
        <v>157.422</v>
      </c>
      <c r="Q28" s="85">
        <v>132.25800000000001</v>
      </c>
      <c r="R28" s="11"/>
    </row>
    <row r="29" spans="2:18" x14ac:dyDescent="0.25">
      <c r="B29" s="13" t="s">
        <v>19</v>
      </c>
      <c r="C29" s="85">
        <v>37.187536876057116</v>
      </c>
      <c r="D29" s="85">
        <v>36.539336196853768</v>
      </c>
      <c r="E29" s="85">
        <v>33.012694665937417</v>
      </c>
      <c r="F29" s="85">
        <v>38.807798908741439</v>
      </c>
      <c r="G29" s="85">
        <v>29.193307694551997</v>
      </c>
      <c r="H29" s="85">
        <v>38.99245914275123</v>
      </c>
      <c r="I29" s="85">
        <v>33.410128</v>
      </c>
      <c r="J29" s="11"/>
      <c r="K29" s="82">
        <v>302.53399999999999</v>
      </c>
      <c r="L29" s="82">
        <v>307.69299999999998</v>
      </c>
      <c r="M29" s="82">
        <v>286.70699999999999</v>
      </c>
      <c r="N29" s="82">
        <v>348.08499999999998</v>
      </c>
      <c r="O29" s="82">
        <v>270.161</v>
      </c>
      <c r="P29" s="82">
        <v>371.31700000000001</v>
      </c>
      <c r="Q29" s="85">
        <v>327.017</v>
      </c>
      <c r="R29" s="11"/>
    </row>
    <row r="30" spans="2:18" x14ac:dyDescent="0.25">
      <c r="B30" s="13" t="s">
        <v>20</v>
      </c>
      <c r="C30" s="85">
        <v>20.277160445266098</v>
      </c>
      <c r="D30" s="85">
        <v>31.183120033915735</v>
      </c>
      <c r="E30" s="85">
        <v>18.738478367252942</v>
      </c>
      <c r="F30" s="85">
        <v>24.261103789971749</v>
      </c>
      <c r="G30" s="85">
        <v>25.59116337321068</v>
      </c>
      <c r="H30" s="85">
        <v>27.443112785223654</v>
      </c>
      <c r="I30" s="85">
        <v>24.524926999999998</v>
      </c>
      <c r="J30" s="11"/>
      <c r="K30" s="82">
        <v>164.96199999999999</v>
      </c>
      <c r="L30" s="82">
        <v>262.589</v>
      </c>
      <c r="M30" s="82">
        <v>162.739</v>
      </c>
      <c r="N30" s="82">
        <v>217.60900000000001</v>
      </c>
      <c r="O30" s="82">
        <v>236.82599999999999</v>
      </c>
      <c r="P30" s="82">
        <v>261.33499999999998</v>
      </c>
      <c r="Q30" s="85">
        <v>240.04900000000001</v>
      </c>
      <c r="R30" s="11"/>
    </row>
    <row r="31" spans="2:18" x14ac:dyDescent="0.25">
      <c r="B31" s="7" t="s">
        <v>21</v>
      </c>
      <c r="C31" s="85"/>
      <c r="D31" s="85"/>
      <c r="E31" s="85"/>
      <c r="F31" s="85"/>
      <c r="G31" s="85"/>
      <c r="H31" s="85"/>
      <c r="I31" s="85"/>
      <c r="J31" s="11"/>
      <c r="K31" s="82"/>
      <c r="L31" s="82"/>
      <c r="M31" s="82"/>
      <c r="N31" s="82"/>
      <c r="O31" s="82"/>
      <c r="P31" s="82"/>
      <c r="Q31" s="85"/>
      <c r="R31" s="11"/>
    </row>
    <row r="32" spans="2:18" ht="15" customHeight="1" x14ac:dyDescent="0.25">
      <c r="B32" s="15" t="s">
        <v>22</v>
      </c>
      <c r="C32" s="85">
        <v>18.516697478661055</v>
      </c>
      <c r="D32" s="85">
        <v>21.616650061098198</v>
      </c>
      <c r="E32" s="85">
        <v>20.563401364460692</v>
      </c>
      <c r="F32" s="85">
        <v>19.198703154927944</v>
      </c>
      <c r="G32" s="85">
        <v>15.769471408148291</v>
      </c>
      <c r="H32" s="85">
        <v>18.50245568788139</v>
      </c>
      <c r="I32" s="85">
        <v>23.808434000000002</v>
      </c>
      <c r="J32" s="11"/>
      <c r="K32" s="82">
        <v>150.63999999999999</v>
      </c>
      <c r="L32" s="82">
        <v>182.03100000000001</v>
      </c>
      <c r="M32" s="82">
        <v>178.58799999999999</v>
      </c>
      <c r="N32" s="82">
        <v>172.202</v>
      </c>
      <c r="O32" s="82">
        <v>145.934</v>
      </c>
      <c r="P32" s="82">
        <v>176.19499999999999</v>
      </c>
      <c r="Q32" s="85">
        <v>233.036</v>
      </c>
      <c r="R32" s="11"/>
    </row>
    <row r="33" spans="1:18" ht="15" customHeight="1" thickBot="1" x14ac:dyDescent="0.3">
      <c r="A33" s="17"/>
      <c r="B33" s="35" t="s">
        <v>23</v>
      </c>
      <c r="C33" s="86">
        <v>50.494016245132357</v>
      </c>
      <c r="D33" s="86">
        <v>54.82462025895186</v>
      </c>
      <c r="E33" s="86">
        <v>50.235642937332678</v>
      </c>
      <c r="F33" s="86">
        <v>47.585250394115143</v>
      </c>
      <c r="G33" s="86">
        <v>48.56362671692127</v>
      </c>
      <c r="H33" s="86">
        <v>50.844237875664589</v>
      </c>
      <c r="I33" s="86">
        <v>54.845341000000005</v>
      </c>
      <c r="J33" s="18"/>
      <c r="K33" s="83">
        <v>410.78699999999998</v>
      </c>
      <c r="L33" s="83">
        <v>461.67099999999999</v>
      </c>
      <c r="M33" s="83">
        <v>436.28399999999999</v>
      </c>
      <c r="N33" s="83">
        <v>426.81400000000002</v>
      </c>
      <c r="O33" s="83">
        <v>449.41800000000001</v>
      </c>
      <c r="P33" s="83">
        <v>484.17899999999997</v>
      </c>
      <c r="Q33" s="86">
        <v>536.82399999999996</v>
      </c>
      <c r="R33" s="18"/>
    </row>
    <row r="34" spans="1:18" ht="15.75" thickTop="1" x14ac:dyDescent="0.25">
      <c r="B34" s="19" t="s">
        <v>36</v>
      </c>
    </row>
    <row r="35" spans="1:18" x14ac:dyDescent="0.25">
      <c r="B35" s="19" t="s">
        <v>35</v>
      </c>
    </row>
    <row r="36" spans="1:18" x14ac:dyDescent="0.25">
      <c r="B36" s="34"/>
      <c r="C36" s="34"/>
      <c r="D36" s="32"/>
      <c r="E36" s="32"/>
    </row>
    <row r="37" spans="1:18" x14ac:dyDescent="0.25">
      <c r="B37" s="34"/>
      <c r="C37" s="33"/>
      <c r="D37" s="32"/>
      <c r="E37" s="32"/>
    </row>
    <row r="38" spans="1:18" x14ac:dyDescent="0.25">
      <c r="B38" s="81"/>
      <c r="C38" s="81"/>
      <c r="D38" s="81"/>
      <c r="E38" s="81"/>
    </row>
    <row r="39" spans="1:18" x14ac:dyDescent="0.25">
      <c r="B39" s="81"/>
      <c r="C39" s="81"/>
      <c r="D39" s="81"/>
      <c r="E39" s="81"/>
    </row>
  </sheetData>
  <mergeCells count="9">
    <mergeCell ref="B4:R4"/>
    <mergeCell ref="B9:R9"/>
    <mergeCell ref="B10:R10"/>
    <mergeCell ref="B38:E38"/>
    <mergeCell ref="B39:E39"/>
    <mergeCell ref="C12:I12"/>
    <mergeCell ref="K12:Q12"/>
    <mergeCell ref="B11:B13"/>
    <mergeCell ref="C11:R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E15C5-D65D-451A-B592-79B0A12DE2F5}">
  <dimension ref="A4:R39"/>
  <sheetViews>
    <sheetView zoomScaleNormal="100" workbookViewId="0">
      <selection activeCell="K38" sqref="K38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9.7109375" style="2" bestFit="1" customWidth="1"/>
    <col min="17" max="17" width="8.4257812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x14ac:dyDescent="0.25">
      <c r="A6" s="1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x14ac:dyDescent="0.25">
      <c r="A7" s="1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x14ac:dyDescent="0.25">
      <c r="A8" s="1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15.75" customHeight="1" x14ac:dyDescent="0.25">
      <c r="A9" s="1"/>
      <c r="B9" s="70" t="s">
        <v>43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87">
        <v>32.716439255767639</v>
      </c>
      <c r="D15" s="87">
        <v>27.810883753938132</v>
      </c>
      <c r="E15" s="87">
        <v>27.925963168157566</v>
      </c>
      <c r="F15" s="87">
        <v>30.171384894585824</v>
      </c>
      <c r="G15" s="87">
        <v>24.815166356101564</v>
      </c>
      <c r="H15" s="87">
        <v>22.486613851966787</v>
      </c>
      <c r="I15" s="87">
        <v>23.580169999999999</v>
      </c>
      <c r="J15" s="87"/>
      <c r="K15" s="82">
        <v>885.77599999999995</v>
      </c>
      <c r="L15" s="82">
        <v>775.93200000000002</v>
      </c>
      <c r="M15" s="82">
        <v>799.28099999999995</v>
      </c>
      <c r="N15" s="82">
        <v>885.78599999999994</v>
      </c>
      <c r="O15" s="82">
        <v>745.89700000000005</v>
      </c>
      <c r="P15" s="82">
        <v>691.12900000000002</v>
      </c>
      <c r="Q15" s="82">
        <v>740.18200000000002</v>
      </c>
      <c r="R15" s="11"/>
    </row>
    <row r="16" spans="1:18" ht="15" customHeight="1" x14ac:dyDescent="0.25">
      <c r="B16" s="10" t="s">
        <v>6</v>
      </c>
      <c r="C16" s="87">
        <v>29.624877282327105</v>
      </c>
      <c r="D16" s="87">
        <v>24.874212822084353</v>
      </c>
      <c r="E16" s="87">
        <v>24.687375857879918</v>
      </c>
      <c r="F16" s="87">
        <v>26.434542932740385</v>
      </c>
      <c r="G16" s="87">
        <v>23.162134944612287</v>
      </c>
      <c r="H16" s="87">
        <v>21.03781568517849</v>
      </c>
      <c r="I16" s="87">
        <v>21.280872000000002</v>
      </c>
      <c r="J16" s="87"/>
      <c r="K16" s="82">
        <v>802.07399999999996</v>
      </c>
      <c r="L16" s="82">
        <v>693.99800000000005</v>
      </c>
      <c r="M16" s="82">
        <v>706.58799999999997</v>
      </c>
      <c r="N16" s="82">
        <v>776.07799999999997</v>
      </c>
      <c r="O16" s="82">
        <v>696.21</v>
      </c>
      <c r="P16" s="82">
        <v>646.6</v>
      </c>
      <c r="Q16" s="82">
        <v>668.00699999999995</v>
      </c>
      <c r="R16" s="11"/>
    </row>
    <row r="17" spans="2:18" ht="15" customHeight="1" x14ac:dyDescent="0.25">
      <c r="B17" s="10" t="s">
        <v>7</v>
      </c>
      <c r="C17" s="87">
        <v>3.0915619734405344</v>
      </c>
      <c r="D17" s="87">
        <v>2.9366709318537794</v>
      </c>
      <c r="E17" s="87">
        <v>3.2385873102776483</v>
      </c>
      <c r="F17" s="87">
        <v>3.7368419618454363</v>
      </c>
      <c r="G17" s="87">
        <v>1.6530314114892788</v>
      </c>
      <c r="H17" s="87">
        <v>1.4487981667882974</v>
      </c>
      <c r="I17" s="87">
        <v>2.2992977000000003</v>
      </c>
      <c r="J17" s="87"/>
      <c r="K17" s="82">
        <v>83.701999999999998</v>
      </c>
      <c r="L17" s="82">
        <v>81.933999999999997</v>
      </c>
      <c r="M17" s="82">
        <v>92.692999999999998</v>
      </c>
      <c r="N17" s="82">
        <v>109.708</v>
      </c>
      <c r="O17" s="82">
        <v>49.686999999999998</v>
      </c>
      <c r="P17" s="82">
        <v>44.529000000000003</v>
      </c>
      <c r="Q17" s="82">
        <v>72.174999999999997</v>
      </c>
      <c r="R17" s="11"/>
    </row>
    <row r="18" spans="2:18" ht="15" customHeight="1" x14ac:dyDescent="0.25">
      <c r="B18" s="10" t="s">
        <v>8</v>
      </c>
      <c r="C18" s="87">
        <v>25.191380473171275</v>
      </c>
      <c r="D18" s="87">
        <v>25.589079687315191</v>
      </c>
      <c r="E18" s="87">
        <v>24.433929401850289</v>
      </c>
      <c r="F18" s="87">
        <v>24.206770922745317</v>
      </c>
      <c r="G18" s="87">
        <v>24.958887967340594</v>
      </c>
      <c r="H18" s="87">
        <v>27.352413996622104</v>
      </c>
      <c r="I18" s="87">
        <v>26.598421999999999</v>
      </c>
      <c r="J18" s="87"/>
      <c r="K18" s="82">
        <v>682.04</v>
      </c>
      <c r="L18" s="82">
        <v>713.94299999999998</v>
      </c>
      <c r="M18" s="82">
        <v>699.33399999999995</v>
      </c>
      <c r="N18" s="82">
        <v>710.67399999999998</v>
      </c>
      <c r="O18" s="82">
        <v>750.21699999999998</v>
      </c>
      <c r="P18" s="82">
        <v>840.68</v>
      </c>
      <c r="Q18" s="82">
        <v>834.92499999999995</v>
      </c>
      <c r="R18" s="11"/>
    </row>
    <row r="19" spans="2:18" ht="15" customHeight="1" x14ac:dyDescent="0.25">
      <c r="B19" s="10" t="s">
        <v>9</v>
      </c>
      <c r="C19" s="87">
        <v>12.538440456904951</v>
      </c>
      <c r="D19" s="87">
        <v>12.86043519245313</v>
      </c>
      <c r="E19" s="87">
        <v>12.74513537583552</v>
      </c>
      <c r="F19" s="87">
        <v>11.080921083107844</v>
      </c>
      <c r="G19" s="87">
        <v>13.031458065726687</v>
      </c>
      <c r="H19" s="87">
        <v>11.257573987811341</v>
      </c>
      <c r="I19" s="87">
        <v>11.282470999999999</v>
      </c>
      <c r="J19" s="87"/>
      <c r="K19" s="82">
        <v>339.47</v>
      </c>
      <c r="L19" s="82">
        <v>358.81</v>
      </c>
      <c r="M19" s="82">
        <v>364.78399999999999</v>
      </c>
      <c r="N19" s="82">
        <v>325.31900000000002</v>
      </c>
      <c r="O19" s="82">
        <v>391.70100000000002</v>
      </c>
      <c r="P19" s="82">
        <v>346.00299999999999</v>
      </c>
      <c r="Q19" s="82">
        <v>354.15699999999998</v>
      </c>
      <c r="R19" s="11"/>
    </row>
    <row r="20" spans="2:18" ht="15" customHeight="1" x14ac:dyDescent="0.25">
      <c r="B20" s="10" t="s">
        <v>10</v>
      </c>
      <c r="C20" s="87">
        <v>29.553739814156131</v>
      </c>
      <c r="D20" s="87">
        <v>33.739601366293556</v>
      </c>
      <c r="E20" s="87">
        <v>34.894972054156625</v>
      </c>
      <c r="F20" s="87">
        <v>34.540923099561013</v>
      </c>
      <c r="G20" s="87">
        <v>37.194487610831153</v>
      </c>
      <c r="H20" s="87">
        <v>38.903398163599761</v>
      </c>
      <c r="I20" s="87">
        <v>38.538937000000004</v>
      </c>
      <c r="J20" s="87"/>
      <c r="K20" s="82">
        <v>800.14800000000002</v>
      </c>
      <c r="L20" s="82">
        <v>941.34500000000003</v>
      </c>
      <c r="M20" s="82">
        <v>998.74400000000003</v>
      </c>
      <c r="N20" s="82">
        <v>1014.069</v>
      </c>
      <c r="O20" s="82">
        <v>1117.9960000000001</v>
      </c>
      <c r="P20" s="82">
        <v>1195.701</v>
      </c>
      <c r="Q20" s="82">
        <v>1209.7380000000001</v>
      </c>
      <c r="R20" s="11"/>
    </row>
    <row r="21" spans="2:18" x14ac:dyDescent="0.25">
      <c r="B21" s="12" t="s">
        <v>11</v>
      </c>
      <c r="C21" s="88"/>
      <c r="D21" s="88"/>
      <c r="E21" s="88"/>
      <c r="F21" s="88"/>
      <c r="G21" s="88"/>
      <c r="H21" s="88"/>
      <c r="I21" s="88"/>
      <c r="J21" s="87"/>
      <c r="K21" s="82"/>
      <c r="L21" s="82"/>
      <c r="M21" s="82"/>
      <c r="N21" s="82"/>
      <c r="O21" s="82"/>
      <c r="P21" s="82"/>
      <c r="Q21" s="82"/>
      <c r="R21" s="11"/>
    </row>
    <row r="22" spans="2:18" x14ac:dyDescent="0.25">
      <c r="B22" s="13" t="s">
        <v>12</v>
      </c>
      <c r="C22" s="87">
        <v>57.907819728938911</v>
      </c>
      <c r="D22" s="87">
        <v>53.39996344125332</v>
      </c>
      <c r="E22" s="87">
        <v>52.359892570007858</v>
      </c>
      <c r="F22" s="87">
        <v>54.378155817331141</v>
      </c>
      <c r="G22" s="87">
        <v>49.774054323442158</v>
      </c>
      <c r="H22" s="87">
        <v>49.839027848588898</v>
      </c>
      <c r="I22" s="87">
        <v>50.178592000000002</v>
      </c>
      <c r="J22" s="87"/>
      <c r="K22" s="82">
        <v>1567.816</v>
      </c>
      <c r="L22" s="82">
        <v>1489.875</v>
      </c>
      <c r="M22" s="82">
        <v>1498.615</v>
      </c>
      <c r="N22" s="82">
        <v>1596.46</v>
      </c>
      <c r="O22" s="82">
        <v>1496.114</v>
      </c>
      <c r="P22" s="82">
        <v>1531.809</v>
      </c>
      <c r="Q22" s="82">
        <v>1575.107</v>
      </c>
      <c r="R22" s="11"/>
    </row>
    <row r="23" spans="2:18" x14ac:dyDescent="0.25">
      <c r="B23" s="13" t="s">
        <v>13</v>
      </c>
      <c r="C23" s="87">
        <v>11.13655956156272</v>
      </c>
      <c r="D23" s="87">
        <v>10.267667372752264</v>
      </c>
      <c r="E23" s="87">
        <v>10.310910391269758</v>
      </c>
      <c r="F23" s="87">
        <v>9.8504418484880691</v>
      </c>
      <c r="G23" s="87">
        <v>7.1562383662845068</v>
      </c>
      <c r="H23" s="87">
        <v>7.0592185554445352</v>
      </c>
      <c r="I23" s="87">
        <v>8.3676914</v>
      </c>
      <c r="J23" s="87"/>
      <c r="K23" s="82">
        <v>301.51499999999999</v>
      </c>
      <c r="L23" s="82">
        <v>286.471</v>
      </c>
      <c r="M23" s="82">
        <v>295.113</v>
      </c>
      <c r="N23" s="82">
        <v>289.19400000000002</v>
      </c>
      <c r="O23" s="82">
        <v>215.10300000000001</v>
      </c>
      <c r="P23" s="82">
        <v>216.96600000000001</v>
      </c>
      <c r="Q23" s="82">
        <v>262.66199999999998</v>
      </c>
      <c r="R23" s="11"/>
    </row>
    <row r="24" spans="2:18" x14ac:dyDescent="0.25">
      <c r="B24" s="14" t="s">
        <v>14</v>
      </c>
      <c r="C24" s="88"/>
      <c r="D24" s="88"/>
      <c r="E24" s="88"/>
      <c r="F24" s="88"/>
      <c r="G24" s="88"/>
      <c r="H24" s="88"/>
      <c r="I24" s="88"/>
      <c r="J24" s="87"/>
      <c r="K24" s="82"/>
      <c r="L24" s="82"/>
      <c r="M24" s="82"/>
      <c r="N24" s="82"/>
      <c r="O24" s="82"/>
      <c r="P24" s="82"/>
      <c r="Q24" s="82"/>
      <c r="R24" s="11"/>
    </row>
    <row r="25" spans="2:18" x14ac:dyDescent="0.25">
      <c r="B25" s="15" t="s">
        <v>15</v>
      </c>
      <c r="C25" s="87">
        <v>13.70260549287628</v>
      </c>
      <c r="D25" s="87">
        <v>12.163345913843221</v>
      </c>
      <c r="E25" s="87">
        <v>12.510066757670737</v>
      </c>
      <c r="F25" s="87">
        <v>12.489815549033874</v>
      </c>
      <c r="G25" s="87">
        <v>12.333742873387582</v>
      </c>
      <c r="H25" s="87">
        <v>11.670521647378749</v>
      </c>
      <c r="I25" s="87">
        <v>11.025351000000001</v>
      </c>
      <c r="J25" s="87"/>
      <c r="K25" s="82">
        <v>370.98899999999998</v>
      </c>
      <c r="L25" s="82">
        <v>339.36099999999999</v>
      </c>
      <c r="M25" s="82">
        <v>358.05599999999998</v>
      </c>
      <c r="N25" s="82">
        <v>366.68200000000002</v>
      </c>
      <c r="O25" s="82">
        <v>370.72899999999998</v>
      </c>
      <c r="P25" s="82">
        <v>358.69499999999999</v>
      </c>
      <c r="Q25" s="82">
        <v>346.08600000000001</v>
      </c>
      <c r="R25" s="11"/>
    </row>
    <row r="26" spans="2:18" x14ac:dyDescent="0.25">
      <c r="B26" s="13" t="s">
        <v>16</v>
      </c>
      <c r="C26" s="87">
        <v>23.273106565109249</v>
      </c>
      <c r="D26" s="87">
        <v>17.568090665691766</v>
      </c>
      <c r="E26" s="87">
        <v>14.405185205630886</v>
      </c>
      <c r="F26" s="87">
        <v>15.571071799357462</v>
      </c>
      <c r="G26" s="87">
        <v>12.799873312061205</v>
      </c>
      <c r="H26" s="87">
        <v>13.201375754714556</v>
      </c>
      <c r="I26" s="87">
        <v>21.638788000000002</v>
      </c>
      <c r="J26" s="87"/>
      <c r="K26" s="82">
        <v>630.10400000000004</v>
      </c>
      <c r="L26" s="82">
        <v>490.15499999999997</v>
      </c>
      <c r="M26" s="82">
        <v>412.29700000000003</v>
      </c>
      <c r="N26" s="82">
        <v>457.14299999999997</v>
      </c>
      <c r="O26" s="82">
        <v>384.74</v>
      </c>
      <c r="P26" s="82">
        <v>405.74599999999998</v>
      </c>
      <c r="Q26" s="82">
        <v>679.24199999999996</v>
      </c>
      <c r="R26" s="11"/>
    </row>
    <row r="27" spans="2:18" x14ac:dyDescent="0.25">
      <c r="B27" s="13" t="s">
        <v>17</v>
      </c>
      <c r="C27" s="87">
        <v>40.509427007269615</v>
      </c>
      <c r="D27" s="87">
        <v>34.302821116618823</v>
      </c>
      <c r="E27" s="87">
        <v>34.328787904727335</v>
      </c>
      <c r="F27" s="87">
        <v>34.197104209754734</v>
      </c>
      <c r="G27" s="87">
        <v>30.573046675256695</v>
      </c>
      <c r="H27" s="87">
        <v>30.36453725752909</v>
      </c>
      <c r="I27" s="87">
        <v>33.973855</v>
      </c>
      <c r="J27" s="87"/>
      <c r="K27" s="82">
        <v>1096.7660000000001</v>
      </c>
      <c r="L27" s="82">
        <v>957.05899999999997</v>
      </c>
      <c r="M27" s="82">
        <v>982.53899999999999</v>
      </c>
      <c r="N27" s="82">
        <v>1003.975</v>
      </c>
      <c r="O27" s="82">
        <v>918.96799999999996</v>
      </c>
      <c r="P27" s="82">
        <v>933.25800000000004</v>
      </c>
      <c r="Q27" s="82">
        <v>1066.44</v>
      </c>
      <c r="R27" s="11"/>
    </row>
    <row r="28" spans="2:18" x14ac:dyDescent="0.25">
      <c r="B28" s="13" t="s">
        <v>18</v>
      </c>
      <c r="C28" s="87">
        <v>5.1763034666773038</v>
      </c>
      <c r="D28" s="87">
        <v>4.3903112152915913</v>
      </c>
      <c r="E28" s="87">
        <v>5.3984025256599688</v>
      </c>
      <c r="F28" s="87">
        <v>4.9773012771778378</v>
      </c>
      <c r="G28" s="87">
        <v>5.1753420291561909</v>
      </c>
      <c r="H28" s="87">
        <v>4.437788289816897</v>
      </c>
      <c r="I28" s="87">
        <v>2.8025787000000002</v>
      </c>
      <c r="J28" s="87"/>
      <c r="K28" s="82">
        <v>140.14500000000001</v>
      </c>
      <c r="L28" s="82">
        <v>122.491</v>
      </c>
      <c r="M28" s="82">
        <v>154.51</v>
      </c>
      <c r="N28" s="82">
        <v>146.126</v>
      </c>
      <c r="O28" s="82">
        <v>155.56100000000001</v>
      </c>
      <c r="P28" s="82">
        <v>136.39599999999999</v>
      </c>
      <c r="Q28" s="82">
        <v>87.972999999999999</v>
      </c>
      <c r="R28" s="11"/>
    </row>
    <row r="29" spans="2:18" x14ac:dyDescent="0.25">
      <c r="B29" s="13" t="s">
        <v>19</v>
      </c>
      <c r="C29" s="87">
        <v>5.4559040035694313</v>
      </c>
      <c r="D29" s="87">
        <v>6.0040573040433252</v>
      </c>
      <c r="E29" s="87">
        <v>5.5469625382100052</v>
      </c>
      <c r="F29" s="87">
        <v>5.5793760439913784</v>
      </c>
      <c r="G29" s="87">
        <v>5.4862398201350651</v>
      </c>
      <c r="H29" s="87">
        <v>3.8812264662618965</v>
      </c>
      <c r="I29" s="87">
        <v>3.2008262000000003</v>
      </c>
      <c r="J29" s="87"/>
      <c r="K29" s="82">
        <v>147.715</v>
      </c>
      <c r="L29" s="82">
        <v>167.51499999999999</v>
      </c>
      <c r="M29" s="82">
        <v>158.762</v>
      </c>
      <c r="N29" s="82">
        <v>163.80199999999999</v>
      </c>
      <c r="O29" s="82">
        <v>164.90600000000001</v>
      </c>
      <c r="P29" s="82">
        <v>119.29</v>
      </c>
      <c r="Q29" s="82">
        <v>100.474</v>
      </c>
      <c r="R29" s="11"/>
    </row>
    <row r="30" spans="2:18" x14ac:dyDescent="0.25">
      <c r="B30" s="13" t="s">
        <v>20</v>
      </c>
      <c r="C30" s="87">
        <v>16.847169681698613</v>
      </c>
      <c r="D30" s="87">
        <v>20.769884194793605</v>
      </c>
      <c r="E30" s="87">
        <v>21.173994451011009</v>
      </c>
      <c r="F30" s="87">
        <v>22.030363969796802</v>
      </c>
      <c r="G30" s="87">
        <v>16.124466907599981</v>
      </c>
      <c r="H30" s="87">
        <v>18.266882228902237</v>
      </c>
      <c r="I30" s="87">
        <v>15.215983</v>
      </c>
      <c r="J30" s="87"/>
      <c r="K30" s="82">
        <v>456.12599999999998</v>
      </c>
      <c r="L30" s="82">
        <v>579.48599999999999</v>
      </c>
      <c r="M30" s="82">
        <v>606.03</v>
      </c>
      <c r="N30" s="82">
        <v>646.77800000000002</v>
      </c>
      <c r="O30" s="82">
        <v>484.67099999999999</v>
      </c>
      <c r="P30" s="82">
        <v>561.43499999999995</v>
      </c>
      <c r="Q30" s="82">
        <v>477.63</v>
      </c>
      <c r="R30" s="11"/>
    </row>
    <row r="31" spans="2:18" x14ac:dyDescent="0.25">
      <c r="B31" s="7" t="s">
        <v>21</v>
      </c>
      <c r="C31" s="88"/>
      <c r="D31" s="88"/>
      <c r="E31" s="88"/>
      <c r="F31" s="88"/>
      <c r="G31" s="88"/>
      <c r="H31" s="88"/>
      <c r="I31" s="88"/>
      <c r="J31" s="87"/>
      <c r="K31" s="82"/>
      <c r="L31" s="82"/>
      <c r="M31" s="82"/>
      <c r="N31" s="82"/>
      <c r="O31" s="82"/>
      <c r="P31" s="82"/>
      <c r="Q31" s="82"/>
      <c r="R31" s="11"/>
    </row>
    <row r="32" spans="2:18" ht="15" customHeight="1" x14ac:dyDescent="0.25">
      <c r="B32" s="15" t="s">
        <v>22</v>
      </c>
      <c r="C32" s="87">
        <v>11.321088528843177</v>
      </c>
      <c r="D32" s="87">
        <v>11.454392963516522</v>
      </c>
      <c r="E32" s="87">
        <v>11.648684220180474</v>
      </c>
      <c r="F32" s="87">
        <v>11.797306945046202</v>
      </c>
      <c r="G32" s="87">
        <v>8.8133951203186101</v>
      </c>
      <c r="H32" s="87">
        <v>6.4748709375883564</v>
      </c>
      <c r="I32" s="87">
        <v>8.6720874999999999</v>
      </c>
      <c r="J32" s="87"/>
      <c r="K32" s="82">
        <v>306.51100000000002</v>
      </c>
      <c r="L32" s="82">
        <v>319.58100000000002</v>
      </c>
      <c r="M32" s="82">
        <v>333.40199999999999</v>
      </c>
      <c r="N32" s="82">
        <v>346.351</v>
      </c>
      <c r="O32" s="82">
        <v>264.91399999999999</v>
      </c>
      <c r="P32" s="82">
        <v>199.006</v>
      </c>
      <c r="Q32" s="82">
        <v>272.21699999999998</v>
      </c>
      <c r="R32" s="11"/>
    </row>
    <row r="33" spans="1:18" ht="15" customHeight="1" thickBot="1" x14ac:dyDescent="0.3">
      <c r="A33" s="17"/>
      <c r="B33" s="35" t="s">
        <v>23</v>
      </c>
      <c r="C33" s="89">
        <v>45.25487971267259</v>
      </c>
      <c r="D33" s="89">
        <v>40.671318946391253</v>
      </c>
      <c r="E33" s="89">
        <v>40.671098543993082</v>
      </c>
      <c r="F33" s="89">
        <v>41.252305977693673</v>
      </c>
      <c r="G33" s="89">
        <v>37.846624421828253</v>
      </c>
      <c r="H33" s="89">
        <v>33.744187839778128</v>
      </c>
      <c r="I33" s="89">
        <v>34.862640999999996</v>
      </c>
      <c r="J33" s="89"/>
      <c r="K33" s="83">
        <v>1225.2460000000001</v>
      </c>
      <c r="L33" s="83">
        <v>1134.742</v>
      </c>
      <c r="M33" s="83">
        <v>1164.0650000000001</v>
      </c>
      <c r="N33" s="83">
        <v>1211.105</v>
      </c>
      <c r="O33" s="83">
        <v>1137.598</v>
      </c>
      <c r="P33" s="83">
        <v>1037.1320000000001</v>
      </c>
      <c r="Q33" s="83">
        <v>1094.3389999999999</v>
      </c>
      <c r="R33" s="18"/>
    </row>
    <row r="34" spans="1:18" ht="15.75" thickTop="1" x14ac:dyDescent="0.25">
      <c r="B34" s="19" t="s">
        <v>36</v>
      </c>
    </row>
    <row r="35" spans="1:18" x14ac:dyDescent="0.25">
      <c r="B35" s="19" t="s">
        <v>35</v>
      </c>
    </row>
    <row r="36" spans="1:18" x14ac:dyDescent="0.25">
      <c r="B36" s="34"/>
      <c r="C36" s="34"/>
      <c r="D36" s="32"/>
      <c r="E36" s="32"/>
    </row>
    <row r="37" spans="1:18" x14ac:dyDescent="0.25">
      <c r="B37" s="34"/>
      <c r="C37" s="33"/>
      <c r="D37" s="32"/>
      <c r="E37" s="32"/>
    </row>
    <row r="38" spans="1:18" x14ac:dyDescent="0.25">
      <c r="B38" s="81"/>
      <c r="C38" s="81"/>
      <c r="D38" s="81"/>
      <c r="E38" s="81"/>
    </row>
    <row r="39" spans="1:18" x14ac:dyDescent="0.25">
      <c r="B39" s="81"/>
      <c r="C39" s="81"/>
      <c r="D39" s="81"/>
      <c r="E39" s="81"/>
    </row>
  </sheetData>
  <mergeCells count="9">
    <mergeCell ref="B4:R4"/>
    <mergeCell ref="B9:R9"/>
    <mergeCell ref="B10:R10"/>
    <mergeCell ref="B38:E38"/>
    <mergeCell ref="B39:E39"/>
    <mergeCell ref="C12:I12"/>
    <mergeCell ref="K12:Q12"/>
    <mergeCell ref="B11:B13"/>
    <mergeCell ref="C11:R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650D6-C4BA-4E98-91A3-8C164936FBE0}">
  <dimension ref="A4:R39"/>
  <sheetViews>
    <sheetView zoomScaleNormal="100" workbookViewId="0">
      <selection activeCell="H39" sqref="H39"/>
    </sheetView>
  </sheetViews>
  <sheetFormatPr baseColWidth="10" defaultColWidth="11.42578125" defaultRowHeight="15" x14ac:dyDescent="0.25"/>
  <cols>
    <col min="1" max="1" width="1.7109375" style="2" customWidth="1"/>
    <col min="2" max="2" width="64.7109375" style="2" customWidth="1"/>
    <col min="3" max="8" width="6.7109375" style="2" customWidth="1"/>
    <col min="9" max="9" width="6.7109375" style="2" bestFit="1" customWidth="1"/>
    <col min="10" max="10" width="0.85546875" style="2" customWidth="1"/>
    <col min="11" max="16" width="8.140625" style="2" bestFit="1" customWidth="1"/>
    <col min="17" max="17" width="6.7109375" style="2" bestFit="1" customWidth="1"/>
    <col min="18" max="18" width="0.85546875" style="2" customWidth="1"/>
    <col min="19" max="16384" width="11.42578125" style="2"/>
  </cols>
  <sheetData>
    <row r="4" spans="1:18" x14ac:dyDescent="0.25">
      <c r="A4" s="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x14ac:dyDescent="0.25">
      <c r="A5" s="1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x14ac:dyDescent="0.25">
      <c r="A6" s="1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x14ac:dyDescent="0.25">
      <c r="A7" s="1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x14ac:dyDescent="0.25">
      <c r="A8" s="1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15.75" customHeight="1" x14ac:dyDescent="0.25">
      <c r="A9" s="1"/>
      <c r="B9" s="70" t="s">
        <v>44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6.5" customHeight="1" thickBot="1" x14ac:dyDescent="0.3">
      <c r="A10" s="3"/>
      <c r="B10" s="71" t="s">
        <v>38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36.75" customHeight="1" thickTop="1" x14ac:dyDescent="0.25">
      <c r="B11" s="72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x14ac:dyDescent="0.25">
      <c r="B12" s="72"/>
      <c r="C12" s="77" t="s">
        <v>2</v>
      </c>
      <c r="D12" s="77"/>
      <c r="E12" s="77"/>
      <c r="F12" s="77"/>
      <c r="G12" s="77"/>
      <c r="H12" s="77"/>
      <c r="I12" s="77"/>
      <c r="J12" s="4"/>
      <c r="K12" s="78" t="s">
        <v>37</v>
      </c>
      <c r="L12" s="78"/>
      <c r="M12" s="78"/>
      <c r="N12" s="78"/>
      <c r="O12" s="78"/>
      <c r="P12" s="78"/>
      <c r="Q12" s="78"/>
      <c r="R12" s="4"/>
    </row>
    <row r="13" spans="1:18" ht="15.75" thickBot="1" x14ac:dyDescent="0.3">
      <c r="A13" s="5"/>
      <c r="B13" s="73"/>
      <c r="C13" s="20">
        <v>2008</v>
      </c>
      <c r="D13" s="20">
        <v>2010</v>
      </c>
      <c r="E13" s="20">
        <v>2012</v>
      </c>
      <c r="F13" s="20">
        <v>2014</v>
      </c>
      <c r="G13" s="20">
        <v>2016</v>
      </c>
      <c r="H13" s="20">
        <v>2018</v>
      </c>
      <c r="I13" s="20">
        <v>2020</v>
      </c>
      <c r="J13" s="21"/>
      <c r="K13" s="20">
        <v>2008</v>
      </c>
      <c r="L13" s="20">
        <v>2010</v>
      </c>
      <c r="M13" s="20">
        <v>2012</v>
      </c>
      <c r="N13" s="20">
        <v>2014</v>
      </c>
      <c r="O13" s="20">
        <v>2016</v>
      </c>
      <c r="P13" s="20">
        <v>2018</v>
      </c>
      <c r="Q13" s="20">
        <v>2020</v>
      </c>
      <c r="R13" s="6"/>
    </row>
    <row r="14" spans="1:18" ht="15" customHeight="1" x14ac:dyDescent="0.25">
      <c r="B14" s="7" t="s">
        <v>4</v>
      </c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9"/>
    </row>
    <row r="15" spans="1:18" ht="15" customHeight="1" x14ac:dyDescent="0.25">
      <c r="B15" s="10" t="s">
        <v>5</v>
      </c>
      <c r="C15" s="24">
        <v>27.410404532918186</v>
      </c>
      <c r="D15" s="24">
        <v>34.692844411565737</v>
      </c>
      <c r="E15" s="24">
        <v>34.415880256758477</v>
      </c>
      <c r="F15" s="24">
        <v>34.34573738631488</v>
      </c>
      <c r="G15" s="24">
        <v>33.631706637600175</v>
      </c>
      <c r="H15" s="24">
        <v>30.86859688195991</v>
      </c>
      <c r="I15" s="24">
        <v>27.811647999999998</v>
      </c>
      <c r="J15" s="24"/>
      <c r="K15" s="82">
        <v>173.42699999999999</v>
      </c>
      <c r="L15" s="82">
        <v>230.26300000000001</v>
      </c>
      <c r="M15" s="82">
        <v>237.197</v>
      </c>
      <c r="N15" s="82">
        <v>244.93799999999999</v>
      </c>
      <c r="O15" s="82">
        <v>248.691</v>
      </c>
      <c r="P15" s="82">
        <v>235.62</v>
      </c>
      <c r="Q15" s="82">
        <v>218.60400000000001</v>
      </c>
      <c r="R15" s="11"/>
    </row>
    <row r="16" spans="1:18" ht="15" customHeight="1" x14ac:dyDescent="0.25">
      <c r="B16" s="10" t="s">
        <v>6</v>
      </c>
      <c r="C16" s="24">
        <v>25.668518503884119</v>
      </c>
      <c r="D16" s="24">
        <v>32.171747381045293</v>
      </c>
      <c r="E16" s="24">
        <v>30.436094763844878</v>
      </c>
      <c r="F16" s="24">
        <v>30.930486262434197</v>
      </c>
      <c r="G16" s="24">
        <v>31.024106976228406</v>
      </c>
      <c r="H16" s="24">
        <v>28.477924800209614</v>
      </c>
      <c r="I16" s="24">
        <v>25.101396999999999</v>
      </c>
      <c r="J16" s="24"/>
      <c r="K16" s="82">
        <v>162.40600000000001</v>
      </c>
      <c r="L16" s="82">
        <v>213.53</v>
      </c>
      <c r="M16" s="82">
        <v>209.768</v>
      </c>
      <c r="N16" s="82">
        <v>220.58199999999999</v>
      </c>
      <c r="O16" s="82">
        <v>229.40899999999999</v>
      </c>
      <c r="P16" s="82">
        <v>217.37200000000001</v>
      </c>
      <c r="Q16" s="82">
        <v>197.30099999999999</v>
      </c>
      <c r="R16" s="11"/>
    </row>
    <row r="17" spans="2:18" ht="15" customHeight="1" x14ac:dyDescent="0.25">
      <c r="B17" s="10" t="s">
        <v>7</v>
      </c>
      <c r="C17" s="24">
        <v>1.7418860290340681</v>
      </c>
      <c r="D17" s="24">
        <v>2.5210970305204463</v>
      </c>
      <c r="E17" s="24">
        <v>3.9797854929136052</v>
      </c>
      <c r="F17" s="24">
        <v>3.4152511238806764</v>
      </c>
      <c r="G17" s="24">
        <v>2.6075996613717689</v>
      </c>
      <c r="H17" s="24">
        <v>2.3906720817502949</v>
      </c>
      <c r="I17" s="24">
        <v>2.7102501999999999</v>
      </c>
      <c r="J17" s="24"/>
      <c r="K17" s="82">
        <v>11.021000000000001</v>
      </c>
      <c r="L17" s="82">
        <v>16.733000000000001</v>
      </c>
      <c r="M17" s="82">
        <v>27.428999999999998</v>
      </c>
      <c r="N17" s="82">
        <v>24.356000000000002</v>
      </c>
      <c r="O17" s="82">
        <v>19.282</v>
      </c>
      <c r="P17" s="82">
        <v>18.248000000000001</v>
      </c>
      <c r="Q17" s="82">
        <v>21.303000000000001</v>
      </c>
      <c r="R17" s="11"/>
    </row>
    <row r="18" spans="2:18" ht="15" customHeight="1" x14ac:dyDescent="0.25">
      <c r="B18" s="10" t="s">
        <v>8</v>
      </c>
      <c r="C18" s="24">
        <v>39.736844184888689</v>
      </c>
      <c r="D18" s="24">
        <v>33.753742171009115</v>
      </c>
      <c r="E18" s="24">
        <v>31.742666945247301</v>
      </c>
      <c r="F18" s="24">
        <v>33.180210725874076</v>
      </c>
      <c r="G18" s="24">
        <v>31.324734195771477</v>
      </c>
      <c r="H18" s="24">
        <v>35.222586139132709</v>
      </c>
      <c r="I18" s="24">
        <v>34.651203000000002</v>
      </c>
      <c r="J18" s="24"/>
      <c r="K18" s="82">
        <v>251.417</v>
      </c>
      <c r="L18" s="82">
        <v>224.03</v>
      </c>
      <c r="M18" s="82">
        <v>218.773</v>
      </c>
      <c r="N18" s="82">
        <v>236.626</v>
      </c>
      <c r="O18" s="82">
        <v>231.63200000000001</v>
      </c>
      <c r="P18" s="82">
        <v>268.85399999999998</v>
      </c>
      <c r="Q18" s="82">
        <v>272.36399999999998</v>
      </c>
      <c r="R18" s="11"/>
    </row>
    <row r="19" spans="2:18" ht="15" customHeight="1" x14ac:dyDescent="0.25">
      <c r="B19" s="10" t="s">
        <v>9</v>
      </c>
      <c r="C19" s="24">
        <v>3.498945005966446</v>
      </c>
      <c r="D19" s="24">
        <v>4.8853505775787651</v>
      </c>
      <c r="E19" s="24">
        <v>6.2653074253345871</v>
      </c>
      <c r="F19" s="24">
        <v>6.358654652431313</v>
      </c>
      <c r="G19" s="24">
        <v>6.9526975308808927</v>
      </c>
      <c r="H19" s="24">
        <v>5.4078344032490504</v>
      </c>
      <c r="I19" s="24">
        <v>6.5102999999999991</v>
      </c>
      <c r="J19" s="24"/>
      <c r="K19" s="82">
        <v>22.138000000000002</v>
      </c>
      <c r="L19" s="82">
        <v>32.424999999999997</v>
      </c>
      <c r="M19" s="82">
        <v>43.180999999999997</v>
      </c>
      <c r="N19" s="82">
        <v>45.347000000000001</v>
      </c>
      <c r="O19" s="82">
        <v>51.411999999999999</v>
      </c>
      <c r="P19" s="82">
        <v>41.277999999999999</v>
      </c>
      <c r="Q19" s="82">
        <v>51.171999999999997</v>
      </c>
      <c r="R19" s="11"/>
    </row>
    <row r="20" spans="2:18" ht="15" customHeight="1" x14ac:dyDescent="0.25">
      <c r="B20" s="10" t="s">
        <v>10</v>
      </c>
      <c r="C20" s="24">
        <v>29.353806276226678</v>
      </c>
      <c r="D20" s="24">
        <v>26.668062839846378</v>
      </c>
      <c r="E20" s="24">
        <v>27.576145372659632</v>
      </c>
      <c r="F20" s="24">
        <v>26.115397235379735</v>
      </c>
      <c r="G20" s="24">
        <v>28.090861635747455</v>
      </c>
      <c r="H20" s="24">
        <v>28.500982575658323</v>
      </c>
      <c r="I20" s="24">
        <v>31.026849000000002</v>
      </c>
      <c r="J20" s="24"/>
      <c r="K20" s="82">
        <v>185.72300000000001</v>
      </c>
      <c r="L20" s="82">
        <v>177.001</v>
      </c>
      <c r="M20" s="82">
        <v>190.05699999999999</v>
      </c>
      <c r="N20" s="82">
        <v>186.24299999999999</v>
      </c>
      <c r="O20" s="82">
        <v>207.71899999999999</v>
      </c>
      <c r="P20" s="82">
        <v>217.548</v>
      </c>
      <c r="Q20" s="82">
        <v>243.876</v>
      </c>
      <c r="R20" s="11"/>
    </row>
    <row r="21" spans="2:18" x14ac:dyDescent="0.25">
      <c r="B21" s="12" t="s">
        <v>11</v>
      </c>
      <c r="C21" s="41"/>
      <c r="D21" s="41"/>
      <c r="E21" s="41"/>
      <c r="F21" s="41"/>
      <c r="G21" s="41"/>
      <c r="H21" s="41"/>
      <c r="I21" s="41"/>
      <c r="J21" s="24"/>
      <c r="K21" s="82"/>
      <c r="L21" s="82"/>
      <c r="M21" s="82"/>
      <c r="N21" s="82"/>
      <c r="O21" s="82"/>
      <c r="P21" s="82"/>
      <c r="Q21" s="82"/>
      <c r="R21" s="11"/>
    </row>
    <row r="22" spans="2:18" x14ac:dyDescent="0.25">
      <c r="B22" s="13" t="s">
        <v>12</v>
      </c>
      <c r="C22" s="24">
        <v>67.147248717806875</v>
      </c>
      <c r="D22" s="24">
        <v>68.446586582574852</v>
      </c>
      <c r="E22" s="24">
        <v>66.158547202005778</v>
      </c>
      <c r="F22" s="24">
        <v>67.525948112188956</v>
      </c>
      <c r="G22" s="24">
        <v>64.956440833371659</v>
      </c>
      <c r="H22" s="24">
        <v>66.091183021092633</v>
      </c>
      <c r="I22" s="24">
        <v>62.462851000000001</v>
      </c>
      <c r="J22" s="24"/>
      <c r="K22" s="82">
        <v>424.84399999999999</v>
      </c>
      <c r="L22" s="82">
        <v>454.29300000000001</v>
      </c>
      <c r="M22" s="82">
        <v>455.97</v>
      </c>
      <c r="N22" s="82">
        <v>481.56400000000002</v>
      </c>
      <c r="O22" s="82">
        <v>480.32299999999998</v>
      </c>
      <c r="P22" s="82">
        <v>504.47399999999999</v>
      </c>
      <c r="Q22" s="82">
        <v>490.96800000000002</v>
      </c>
      <c r="R22" s="11"/>
    </row>
    <row r="23" spans="2:18" x14ac:dyDescent="0.25">
      <c r="B23" s="13" t="s">
        <v>13</v>
      </c>
      <c r="C23" s="24">
        <v>13.790787175697993</v>
      </c>
      <c r="D23" s="24">
        <v>16.486947036321091</v>
      </c>
      <c r="E23" s="24">
        <v>14.760855938990842</v>
      </c>
      <c r="F23" s="24">
        <v>16.060065567885758</v>
      </c>
      <c r="G23" s="24">
        <v>13.049628509684172</v>
      </c>
      <c r="H23" s="24">
        <v>12.5659635791956</v>
      </c>
      <c r="I23" s="24">
        <v>11.645056</v>
      </c>
      <c r="J23" s="24"/>
      <c r="K23" s="82">
        <v>87.254999999999995</v>
      </c>
      <c r="L23" s="82">
        <v>109.42700000000001</v>
      </c>
      <c r="M23" s="82">
        <v>101.733</v>
      </c>
      <c r="N23" s="82">
        <v>114.533</v>
      </c>
      <c r="O23" s="82">
        <v>96.495999999999995</v>
      </c>
      <c r="P23" s="82">
        <v>95.915999999999997</v>
      </c>
      <c r="Q23" s="82">
        <v>91.531999999999996</v>
      </c>
      <c r="R23" s="11"/>
    </row>
    <row r="24" spans="2:18" x14ac:dyDescent="0.25">
      <c r="B24" s="14" t="s">
        <v>14</v>
      </c>
      <c r="C24" s="41"/>
      <c r="D24" s="41"/>
      <c r="E24" s="41"/>
      <c r="F24" s="41"/>
      <c r="G24" s="41"/>
      <c r="H24" s="41"/>
      <c r="I24" s="41"/>
      <c r="J24" s="24"/>
      <c r="K24" s="82"/>
      <c r="L24" s="82"/>
      <c r="M24" s="82"/>
      <c r="N24" s="82"/>
      <c r="O24" s="82"/>
      <c r="P24" s="82"/>
      <c r="Q24" s="82"/>
      <c r="R24" s="11"/>
    </row>
    <row r="25" spans="2:18" x14ac:dyDescent="0.25">
      <c r="B25" s="15" t="s">
        <v>15</v>
      </c>
      <c r="C25" s="24">
        <v>18.563627598960018</v>
      </c>
      <c r="D25" s="24">
        <v>18.755828897470163</v>
      </c>
      <c r="E25" s="24">
        <v>18.848591426681061</v>
      </c>
      <c r="F25" s="24">
        <v>17.456397916859473</v>
      </c>
      <c r="G25" s="24">
        <v>16.263486302055298</v>
      </c>
      <c r="H25" s="24">
        <v>16.643259530983887</v>
      </c>
      <c r="I25" s="24">
        <v>15.119794000000001</v>
      </c>
      <c r="J25" s="24"/>
      <c r="K25" s="82">
        <v>117.453</v>
      </c>
      <c r="L25" s="82">
        <v>124.486</v>
      </c>
      <c r="M25" s="82">
        <v>129.90600000000001</v>
      </c>
      <c r="N25" s="82">
        <v>124.491</v>
      </c>
      <c r="O25" s="82">
        <v>120.261</v>
      </c>
      <c r="P25" s="82">
        <v>127.038</v>
      </c>
      <c r="Q25" s="82">
        <v>118.84399999999999</v>
      </c>
      <c r="R25" s="11"/>
    </row>
    <row r="26" spans="2:18" x14ac:dyDescent="0.25">
      <c r="B26" s="13" t="s">
        <v>16</v>
      </c>
      <c r="C26" s="24">
        <v>17.000655913893521</v>
      </c>
      <c r="D26" s="24">
        <v>16.405587304265811</v>
      </c>
      <c r="E26" s="24">
        <v>14.587468514584856</v>
      </c>
      <c r="F26" s="24">
        <v>12.696275979662177</v>
      </c>
      <c r="G26" s="24">
        <v>11.865105875416186</v>
      </c>
      <c r="H26" s="24">
        <v>10.836106380191275</v>
      </c>
      <c r="I26" s="24">
        <v>18.973278000000001</v>
      </c>
      <c r="J26" s="24"/>
      <c r="K26" s="82">
        <v>107.56399999999999</v>
      </c>
      <c r="L26" s="82">
        <v>108.887</v>
      </c>
      <c r="M26" s="82">
        <v>100.538</v>
      </c>
      <c r="N26" s="82">
        <v>90.543999999999997</v>
      </c>
      <c r="O26" s="82">
        <v>87.736999999999995</v>
      </c>
      <c r="P26" s="82">
        <v>82.712000000000003</v>
      </c>
      <c r="Q26" s="82">
        <v>149.13300000000001</v>
      </c>
      <c r="R26" s="11"/>
    </row>
    <row r="27" spans="2:18" x14ac:dyDescent="0.25">
      <c r="B27" s="13" t="s">
        <v>17</v>
      </c>
      <c r="C27" s="24">
        <v>56.027690629914417</v>
      </c>
      <c r="D27" s="24">
        <v>55.762755021326797</v>
      </c>
      <c r="E27" s="24">
        <v>50.769724089099377</v>
      </c>
      <c r="F27" s="24">
        <v>51.910386816872659</v>
      </c>
      <c r="G27" s="24">
        <v>47.728459106313572</v>
      </c>
      <c r="H27" s="24">
        <v>48.891130617057513</v>
      </c>
      <c r="I27" s="24">
        <v>47.010748</v>
      </c>
      <c r="J27" s="24"/>
      <c r="K27" s="82">
        <v>354.49</v>
      </c>
      <c r="L27" s="82">
        <v>370.108</v>
      </c>
      <c r="M27" s="82">
        <v>349.90899999999999</v>
      </c>
      <c r="N27" s="82">
        <v>370.20100000000002</v>
      </c>
      <c r="O27" s="82">
        <v>352.93</v>
      </c>
      <c r="P27" s="82">
        <v>373.18599999999998</v>
      </c>
      <c r="Q27" s="82">
        <v>369.512</v>
      </c>
      <c r="R27" s="11"/>
    </row>
    <row r="28" spans="2:18" x14ac:dyDescent="0.25">
      <c r="B28" s="13" t="s">
        <v>18</v>
      </c>
      <c r="C28" s="24">
        <v>11.107704222346907</v>
      </c>
      <c r="D28" s="24">
        <v>12.059621616979475</v>
      </c>
      <c r="E28" s="24">
        <v>10.047329688570068</v>
      </c>
      <c r="F28" s="24">
        <v>10.909144448464145</v>
      </c>
      <c r="G28" s="24">
        <v>11.380288699499902</v>
      </c>
      <c r="H28" s="24">
        <v>9.3911961221014018</v>
      </c>
      <c r="I28" s="24">
        <v>7.4252941000000003</v>
      </c>
      <c r="J28" s="24"/>
      <c r="K28" s="82">
        <v>70.278999999999996</v>
      </c>
      <c r="L28" s="82">
        <v>80.042000000000002</v>
      </c>
      <c r="M28" s="82">
        <v>69.247</v>
      </c>
      <c r="N28" s="82">
        <v>77.799000000000007</v>
      </c>
      <c r="O28" s="82">
        <v>84.152000000000001</v>
      </c>
      <c r="P28" s="82">
        <v>71.683000000000007</v>
      </c>
      <c r="Q28" s="82">
        <v>58.363999999999997</v>
      </c>
      <c r="R28" s="11"/>
    </row>
    <row r="29" spans="2:18" x14ac:dyDescent="0.25">
      <c r="B29" s="13" t="s">
        <v>19</v>
      </c>
      <c r="C29" s="24">
        <v>6.100157261282904</v>
      </c>
      <c r="D29" s="24">
        <v>9.7955610732855316</v>
      </c>
      <c r="E29" s="24">
        <v>7.8804947127717613</v>
      </c>
      <c r="F29" s="24">
        <v>9.591336513572104</v>
      </c>
      <c r="G29" s="24">
        <v>8.6233896902308995</v>
      </c>
      <c r="H29" s="24">
        <v>10.532031966461417</v>
      </c>
      <c r="I29" s="24">
        <v>7.8554381000000006</v>
      </c>
      <c r="J29" s="24"/>
      <c r="K29" s="82">
        <v>38.595999999999997</v>
      </c>
      <c r="L29" s="82">
        <v>65.015000000000001</v>
      </c>
      <c r="M29" s="82">
        <v>54.313000000000002</v>
      </c>
      <c r="N29" s="82">
        <v>68.400999999999996</v>
      </c>
      <c r="O29" s="82">
        <v>63.765999999999998</v>
      </c>
      <c r="P29" s="82">
        <v>80.391000000000005</v>
      </c>
      <c r="Q29" s="82">
        <v>61.744999999999997</v>
      </c>
      <c r="R29" s="11"/>
    </row>
    <row r="30" spans="2:18" x14ac:dyDescent="0.25">
      <c r="B30" s="13" t="s">
        <v>20</v>
      </c>
      <c r="C30" s="24">
        <v>14.339858227768076</v>
      </c>
      <c r="D30" s="24">
        <v>19.861115924058222</v>
      </c>
      <c r="E30" s="24">
        <v>22.287611287158594</v>
      </c>
      <c r="F30" s="24">
        <v>25.444293939317454</v>
      </c>
      <c r="G30" s="24">
        <v>21.135729876368238</v>
      </c>
      <c r="H30" s="24">
        <v>21.622166906851827</v>
      </c>
      <c r="I30" s="24">
        <v>16.592538000000001</v>
      </c>
      <c r="J30" s="24"/>
      <c r="K30" s="82">
        <v>90.728999999999999</v>
      </c>
      <c r="L30" s="82">
        <v>131.822</v>
      </c>
      <c r="M30" s="82">
        <v>153.608</v>
      </c>
      <c r="N30" s="82">
        <v>181.45699999999999</v>
      </c>
      <c r="O30" s="82">
        <v>156.28899999999999</v>
      </c>
      <c r="P30" s="82">
        <v>165.042</v>
      </c>
      <c r="Q30" s="82">
        <v>130.41999999999999</v>
      </c>
      <c r="R30" s="11"/>
    </row>
    <row r="31" spans="2:18" x14ac:dyDescent="0.25">
      <c r="B31" s="7" t="s">
        <v>21</v>
      </c>
      <c r="C31" s="41"/>
      <c r="D31" s="41"/>
      <c r="E31" s="41"/>
      <c r="F31" s="41"/>
      <c r="G31" s="41"/>
      <c r="H31" s="41"/>
      <c r="I31" s="41"/>
      <c r="J31" s="24"/>
      <c r="K31" s="82"/>
      <c r="L31" s="82"/>
      <c r="M31" s="82"/>
      <c r="N31" s="82"/>
      <c r="O31" s="82"/>
      <c r="P31" s="82"/>
      <c r="Q31" s="82"/>
      <c r="R31" s="11"/>
    </row>
    <row r="32" spans="2:18" ht="15" customHeight="1" x14ac:dyDescent="0.25">
      <c r="B32" s="15" t="s">
        <v>22</v>
      </c>
      <c r="C32" s="24">
        <v>7.4069273990248226</v>
      </c>
      <c r="D32" s="24">
        <v>8.5557291564653113</v>
      </c>
      <c r="E32" s="24">
        <v>11.404249515385777</v>
      </c>
      <c r="F32" s="24">
        <v>10.572471023088982</v>
      </c>
      <c r="G32" s="24">
        <v>7.9967110868289311</v>
      </c>
      <c r="H32" s="24">
        <v>9.7066684134678365</v>
      </c>
      <c r="I32" s="24">
        <v>9.9001801</v>
      </c>
      <c r="J32" s="24"/>
      <c r="K32" s="82">
        <v>46.863999999999997</v>
      </c>
      <c r="L32" s="82">
        <v>56.786000000000001</v>
      </c>
      <c r="M32" s="82">
        <v>78.599000000000004</v>
      </c>
      <c r="N32" s="82">
        <v>75.397999999999996</v>
      </c>
      <c r="O32" s="82">
        <v>59.131999999999998</v>
      </c>
      <c r="P32" s="82">
        <v>74.090999999999994</v>
      </c>
      <c r="Q32" s="82">
        <v>77.816999999999993</v>
      </c>
      <c r="R32" s="11"/>
    </row>
    <row r="33" spans="1:18" ht="15" customHeight="1" thickBot="1" x14ac:dyDescent="0.3">
      <c r="A33" s="17"/>
      <c r="B33" s="35" t="s">
        <v>23</v>
      </c>
      <c r="C33" s="25">
        <v>30.90934953888463</v>
      </c>
      <c r="D33" s="25">
        <v>39.578194989144507</v>
      </c>
      <c r="E33" s="25">
        <v>40.681187682093068</v>
      </c>
      <c r="F33" s="25">
        <v>40.704392038746192</v>
      </c>
      <c r="G33" s="25">
        <v>40.584404168481072</v>
      </c>
      <c r="H33" s="25">
        <v>36.276431285208957</v>
      </c>
      <c r="I33" s="25">
        <v>34.321947999999999</v>
      </c>
      <c r="J33" s="25"/>
      <c r="K33" s="83">
        <v>195.565</v>
      </c>
      <c r="L33" s="83">
        <v>262.68799999999999</v>
      </c>
      <c r="M33" s="83">
        <v>280.37799999999999</v>
      </c>
      <c r="N33" s="83">
        <v>290.28500000000003</v>
      </c>
      <c r="O33" s="83">
        <v>300.10300000000001</v>
      </c>
      <c r="P33" s="83">
        <v>276.89800000000002</v>
      </c>
      <c r="Q33" s="83">
        <v>269.77600000000001</v>
      </c>
      <c r="R33" s="18"/>
    </row>
    <row r="34" spans="1:18" ht="15.75" thickTop="1" x14ac:dyDescent="0.25">
      <c r="B34" s="19" t="s">
        <v>36</v>
      </c>
    </row>
    <row r="35" spans="1:18" x14ac:dyDescent="0.25">
      <c r="B35" s="19" t="s">
        <v>35</v>
      </c>
    </row>
    <row r="36" spans="1:18" x14ac:dyDescent="0.25">
      <c r="B36" s="34"/>
      <c r="C36" s="34"/>
      <c r="D36" s="32"/>
      <c r="E36" s="32"/>
    </row>
    <row r="37" spans="1:18" x14ac:dyDescent="0.25">
      <c r="B37" s="34"/>
      <c r="C37" s="33"/>
      <c r="D37" s="32"/>
      <c r="E37" s="32"/>
    </row>
    <row r="38" spans="1:18" x14ac:dyDescent="0.25">
      <c r="B38" s="81"/>
      <c r="C38" s="81"/>
      <c r="D38" s="81"/>
      <c r="E38" s="81"/>
    </row>
    <row r="39" spans="1:18" x14ac:dyDescent="0.25">
      <c r="B39" s="81"/>
      <c r="C39" s="81"/>
      <c r="D39" s="81"/>
      <c r="E39" s="81"/>
    </row>
  </sheetData>
  <mergeCells count="9">
    <mergeCell ref="B4:R4"/>
    <mergeCell ref="B9:R9"/>
    <mergeCell ref="B10:R10"/>
    <mergeCell ref="B38:E38"/>
    <mergeCell ref="B39:E39"/>
    <mergeCell ref="C12:I12"/>
    <mergeCell ref="K12:Q12"/>
    <mergeCell ref="B11:B13"/>
    <mergeCell ref="C11:R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Nacional</vt:lpstr>
      <vt:lpstr>Rural_Urbano</vt:lpstr>
      <vt:lpstr>Lengua Indigena </vt:lpstr>
      <vt:lpstr>Aguascalientes</vt:lpstr>
      <vt:lpstr>Baja California</vt:lpstr>
      <vt:lpstr>Baja California Sur</vt:lpstr>
      <vt:lpstr>Campeche</vt:lpstr>
      <vt:lpstr>Coahuila</vt:lpstr>
      <vt:lpstr>Colima</vt:lpstr>
      <vt:lpstr> Chiapas</vt:lpstr>
      <vt:lpstr>Chihuahua</vt:lpstr>
      <vt:lpstr>Ciudad de México</vt:lpstr>
      <vt:lpstr>Durango</vt:lpstr>
      <vt:lpstr>Guanajuato</vt:lpstr>
      <vt:lpstr>Guerrero</vt:lpstr>
      <vt:lpstr>Hidalgo</vt:lpstr>
      <vt:lpstr>Jalisco</vt:lpstr>
      <vt:lpstr>México</vt:lpstr>
      <vt:lpstr>Michoacán</vt:lpstr>
      <vt:lpstr>Morelos</vt:lpstr>
      <vt:lpstr>Nayarit</vt:lpstr>
      <vt:lpstr>Nuevo León</vt:lpstr>
      <vt:lpstr>Oaxaca</vt:lpstr>
      <vt:lpstr>Puebla</vt:lpstr>
      <vt:lpstr>Querétaro</vt:lpstr>
      <vt:lpstr>Quintana Roo</vt:lpstr>
      <vt:lpstr>San Luis Potosí</vt:lpstr>
      <vt:lpstr>Sinaloa</vt:lpstr>
      <vt:lpstr>Sonora</vt:lpstr>
      <vt:lpstr>Tabasco</vt:lpstr>
      <vt:lpstr>Tamaulipas</vt:lpstr>
      <vt:lpstr>Tlaxcala</vt:lpstr>
      <vt:lpstr>Veracruz</vt:lpstr>
      <vt:lpstr>Yucatán</vt:lpstr>
      <vt:lpstr>Zacatecas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SHCP</cp:lastModifiedBy>
  <dcterms:created xsi:type="dcterms:W3CDTF">2021-12-17T02:00:31Z</dcterms:created>
  <dcterms:modified xsi:type="dcterms:W3CDTF">2022-01-21T05:33:12Z</dcterms:modified>
</cp:coreProperties>
</file>