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13_ncr:1_{CBB1D3C9-CE52-4CE8-9F46-C305402D969C}" xr6:coauthVersionLast="47" xr6:coauthVersionMax="47" xr10:uidLastSave="{00000000-0000-0000-0000-000000000000}"/>
  <bookViews>
    <workbookView xWindow="-120" yWindow="-120" windowWidth="29040" windowHeight="15840" xr2:uid="{40C6139C-8282-4F39-8791-6DBDBC53F9AC}"/>
  </bookViews>
  <sheets>
    <sheet name="Aguascalientes" sheetId="36" r:id="rId1"/>
    <sheet name="Baja California" sheetId="35" r:id="rId2"/>
    <sheet name="Baja California Sur" sheetId="34" r:id="rId3"/>
    <sheet name="Campeche" sheetId="33" r:id="rId4"/>
    <sheet name="Coahuila" sheetId="32" r:id="rId5"/>
    <sheet name="Colima" sheetId="31" r:id="rId6"/>
    <sheet name="Chiapas" sheetId="30" r:id="rId7"/>
    <sheet name="Chihuahua" sheetId="29" r:id="rId8"/>
    <sheet name="Ciudad de México" sheetId="28" r:id="rId9"/>
    <sheet name="Durango" sheetId="27" r:id="rId10"/>
    <sheet name="Guanajuato" sheetId="26" r:id="rId11"/>
    <sheet name="Guerrero" sheetId="25" r:id="rId12"/>
    <sheet name="Hidalgo" sheetId="24" r:id="rId13"/>
    <sheet name="Jalisco" sheetId="23" r:id="rId14"/>
    <sheet name="México" sheetId="22" r:id="rId15"/>
    <sheet name="Michoacán" sheetId="21" r:id="rId16"/>
    <sheet name="Morelos" sheetId="1" r:id="rId17"/>
    <sheet name="Nayarit" sheetId="2" r:id="rId18"/>
    <sheet name="Nuevo León" sheetId="3" r:id="rId19"/>
    <sheet name="Oaxaca" sheetId="4" r:id="rId20"/>
    <sheet name="Puebla" sheetId="5" r:id="rId21"/>
    <sheet name="Querétaro" sheetId="6" r:id="rId22"/>
    <sheet name="Quintana Roo" sheetId="7" r:id="rId23"/>
    <sheet name="San Luis Potosí" sheetId="8" r:id="rId24"/>
    <sheet name="Sinaloa" sheetId="13" r:id="rId25"/>
    <sheet name="Sonora" sheetId="14" r:id="rId26"/>
    <sheet name="Tabasco" sheetId="15" r:id="rId27"/>
    <sheet name="Tamaulipas" sheetId="16" r:id="rId28"/>
    <sheet name="Tlaxcala" sheetId="17" r:id="rId29"/>
    <sheet name="Veracruz" sheetId="18" r:id="rId30"/>
    <sheet name="Yucatán" sheetId="19" r:id="rId31"/>
    <sheet name="Zacatecas" sheetId="20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21" l="1"/>
  <c r="W16" i="21"/>
  <c r="W17" i="21"/>
  <c r="W18" i="21"/>
  <c r="W19" i="21"/>
  <c r="W21" i="21"/>
  <c r="W22" i="21"/>
  <c r="X22" i="21" s="1"/>
  <c r="Y22" i="21" s="1"/>
  <c r="W24" i="21"/>
  <c r="W25" i="21"/>
  <c r="W26" i="21"/>
  <c r="W27" i="21"/>
  <c r="W28" i="21"/>
  <c r="W29" i="21"/>
  <c r="W31" i="21"/>
  <c r="W32" i="21"/>
  <c r="W14" i="21"/>
  <c r="V15" i="21"/>
  <c r="V16" i="21"/>
  <c r="V17" i="21"/>
  <c r="V18" i="21"/>
  <c r="V19" i="21"/>
  <c r="V21" i="21"/>
  <c r="V22" i="21"/>
  <c r="V24" i="21"/>
  <c r="V25" i="21"/>
  <c r="V26" i="21"/>
  <c r="V27" i="21"/>
  <c r="V28" i="21"/>
  <c r="V29" i="21"/>
  <c r="V31" i="21"/>
  <c r="V32" i="21"/>
  <c r="V14" i="21"/>
  <c r="U15" i="21"/>
  <c r="U16" i="21"/>
  <c r="U17" i="21"/>
  <c r="U18" i="21"/>
  <c r="U19" i="21"/>
  <c r="U21" i="21"/>
  <c r="U22" i="21"/>
  <c r="U24" i="21"/>
  <c r="U25" i="21"/>
  <c r="U26" i="21"/>
  <c r="U27" i="21"/>
  <c r="U28" i="21"/>
  <c r="U29" i="21"/>
  <c r="U31" i="21"/>
  <c r="U32" i="21"/>
  <c r="U14" i="21"/>
  <c r="W28" i="22"/>
  <c r="V15" i="22"/>
  <c r="V16" i="22"/>
  <c r="V17" i="22"/>
  <c r="V18" i="22"/>
  <c r="V19" i="22"/>
  <c r="V21" i="22"/>
  <c r="V22" i="22"/>
  <c r="V24" i="22"/>
  <c r="V25" i="22"/>
  <c r="V26" i="22"/>
  <c r="V27" i="22"/>
  <c r="V28" i="22"/>
  <c r="V29" i="22"/>
  <c r="V31" i="22"/>
  <c r="V32" i="22"/>
  <c r="V14" i="22"/>
  <c r="U15" i="22"/>
  <c r="W15" i="22" s="1"/>
  <c r="U16" i="22"/>
  <c r="W16" i="22" s="1"/>
  <c r="X16" i="22" s="1"/>
  <c r="Y16" i="22" s="1"/>
  <c r="U17" i="22"/>
  <c r="W17" i="22" s="1"/>
  <c r="U18" i="22"/>
  <c r="W18" i="22" s="1"/>
  <c r="U19" i="22"/>
  <c r="W19" i="22" s="1"/>
  <c r="U21" i="22"/>
  <c r="W21" i="22" s="1"/>
  <c r="U22" i="22"/>
  <c r="W22" i="22" s="1"/>
  <c r="U24" i="22"/>
  <c r="W24" i="22" s="1"/>
  <c r="U25" i="22"/>
  <c r="W25" i="22" s="1"/>
  <c r="U26" i="22"/>
  <c r="W26" i="22" s="1"/>
  <c r="U27" i="22"/>
  <c r="W27" i="22" s="1"/>
  <c r="U28" i="22"/>
  <c r="U29" i="22"/>
  <c r="W29" i="22" s="1"/>
  <c r="U31" i="22"/>
  <c r="W31" i="22" s="1"/>
  <c r="X31" i="22" s="1"/>
  <c r="Y31" i="22" s="1"/>
  <c r="U32" i="22"/>
  <c r="W32" i="22" s="1"/>
  <c r="X32" i="22" s="1"/>
  <c r="Y32" i="22" s="1"/>
  <c r="U14" i="22"/>
  <c r="W14" i="22" s="1"/>
  <c r="W15" i="23"/>
  <c r="W16" i="23"/>
  <c r="W17" i="23"/>
  <c r="W18" i="23"/>
  <c r="W19" i="23"/>
  <c r="W21" i="23"/>
  <c r="W22" i="23"/>
  <c r="W24" i="23"/>
  <c r="W25" i="23"/>
  <c r="W26" i="23"/>
  <c r="W27" i="23"/>
  <c r="W28" i="23"/>
  <c r="W29" i="23"/>
  <c r="W31" i="23"/>
  <c r="W32" i="23"/>
  <c r="W14" i="23"/>
  <c r="V15" i="23"/>
  <c r="V16" i="23"/>
  <c r="V17" i="23"/>
  <c r="V18" i="23"/>
  <c r="V19" i="23"/>
  <c r="V21" i="23"/>
  <c r="V22" i="23"/>
  <c r="V24" i="23"/>
  <c r="V25" i="23"/>
  <c r="V26" i="23"/>
  <c r="V27" i="23"/>
  <c r="V28" i="23"/>
  <c r="V29" i="23"/>
  <c r="V31" i="23"/>
  <c r="V32" i="23"/>
  <c r="V14" i="23"/>
  <c r="V15" i="24"/>
  <c r="V16" i="24"/>
  <c r="V17" i="24"/>
  <c r="W17" i="24" s="1"/>
  <c r="V18" i="24"/>
  <c r="V19" i="24"/>
  <c r="V21" i="24"/>
  <c r="V22" i="24"/>
  <c r="V24" i="24"/>
  <c r="V25" i="24"/>
  <c r="V26" i="24"/>
  <c r="V27" i="24"/>
  <c r="W27" i="24" s="1"/>
  <c r="V28" i="24"/>
  <c r="V29" i="24"/>
  <c r="V31" i="24"/>
  <c r="V32" i="24"/>
  <c r="W32" i="24" s="1"/>
  <c r="X32" i="24" s="1"/>
  <c r="Y32" i="24" s="1"/>
  <c r="V14" i="24"/>
  <c r="U31" i="24"/>
  <c r="W31" i="24" s="1"/>
  <c r="X31" i="24" s="1"/>
  <c r="Y31" i="24" s="1"/>
  <c r="U25" i="24"/>
  <c r="W25" i="24" s="1"/>
  <c r="U14" i="24"/>
  <c r="W14" i="24" s="1"/>
  <c r="X14" i="24" s="1"/>
  <c r="Y14" i="24" s="1"/>
  <c r="V15" i="25"/>
  <c r="V16" i="25"/>
  <c r="V17" i="25"/>
  <c r="V18" i="25"/>
  <c r="V19" i="25"/>
  <c r="V21" i="25"/>
  <c r="V22" i="25"/>
  <c r="V24" i="25"/>
  <c r="V25" i="25"/>
  <c r="V26" i="25"/>
  <c r="V27" i="25"/>
  <c r="V28" i="25"/>
  <c r="V29" i="25"/>
  <c r="V31" i="25"/>
  <c r="V32" i="25"/>
  <c r="V14" i="25"/>
  <c r="U15" i="25"/>
  <c r="U16" i="25"/>
  <c r="U17" i="25"/>
  <c r="U18" i="25"/>
  <c r="U19" i="25"/>
  <c r="U21" i="25"/>
  <c r="U22" i="25"/>
  <c r="U24" i="25"/>
  <c r="W24" i="25" s="1"/>
  <c r="U25" i="25"/>
  <c r="U26" i="25"/>
  <c r="U27" i="25"/>
  <c r="U28" i="25"/>
  <c r="U29" i="25"/>
  <c r="U31" i="25"/>
  <c r="U32" i="25"/>
  <c r="U14" i="25"/>
  <c r="V15" i="26"/>
  <c r="V16" i="26"/>
  <c r="V17" i="26"/>
  <c r="V18" i="26"/>
  <c r="V19" i="26"/>
  <c r="V21" i="26"/>
  <c r="V22" i="26"/>
  <c r="V24" i="26"/>
  <c r="V25" i="26"/>
  <c r="V26" i="26"/>
  <c r="V27" i="26"/>
  <c r="V28" i="26"/>
  <c r="V29" i="26"/>
  <c r="V31" i="26"/>
  <c r="V32" i="26"/>
  <c r="V14" i="26"/>
  <c r="U15" i="26"/>
  <c r="W15" i="26" s="1"/>
  <c r="U16" i="26"/>
  <c r="W16" i="26" s="1"/>
  <c r="U17" i="26"/>
  <c r="W17" i="26" s="1"/>
  <c r="U18" i="26"/>
  <c r="W18" i="26" s="1"/>
  <c r="U19" i="26"/>
  <c r="W19" i="26" s="1"/>
  <c r="U21" i="26"/>
  <c r="W21" i="26" s="1"/>
  <c r="X21" i="26" s="1"/>
  <c r="Y21" i="26" s="1"/>
  <c r="U22" i="26"/>
  <c r="U24" i="26"/>
  <c r="U25" i="26"/>
  <c r="W25" i="26" s="1"/>
  <c r="U26" i="26"/>
  <c r="W26" i="26" s="1"/>
  <c r="U27" i="26"/>
  <c r="W27" i="26" s="1"/>
  <c r="U28" i="26"/>
  <c r="W28" i="26" s="1"/>
  <c r="X28" i="26" s="1"/>
  <c r="Y28" i="26" s="1"/>
  <c r="U29" i="26"/>
  <c r="W29" i="26" s="1"/>
  <c r="U31" i="26"/>
  <c r="W31" i="26" s="1"/>
  <c r="X31" i="26" s="1"/>
  <c r="Y31" i="26" s="1"/>
  <c r="U32" i="26"/>
  <c r="W32" i="26" s="1"/>
  <c r="X32" i="26" s="1"/>
  <c r="Y32" i="26" s="1"/>
  <c r="U14" i="26"/>
  <c r="W14" i="26" s="1"/>
  <c r="V15" i="27"/>
  <c r="V16" i="27"/>
  <c r="V17" i="27"/>
  <c r="V18" i="27"/>
  <c r="V19" i="27"/>
  <c r="V21" i="27"/>
  <c r="V22" i="27"/>
  <c r="V24" i="27"/>
  <c r="V25" i="27"/>
  <c r="V26" i="27"/>
  <c r="V27" i="27"/>
  <c r="V28" i="27"/>
  <c r="V29" i="27"/>
  <c r="V31" i="27"/>
  <c r="V32" i="27"/>
  <c r="V14" i="27"/>
  <c r="W14" i="27" s="1"/>
  <c r="I14" i="36"/>
  <c r="K14" i="36" s="1"/>
  <c r="L14" i="36" s="1"/>
  <c r="M14" i="36" s="1"/>
  <c r="J14" i="36"/>
  <c r="U14" i="36"/>
  <c r="V14" i="36"/>
  <c r="W14" i="36"/>
  <c r="X14" i="36" s="1"/>
  <c r="Y14" i="36" s="1"/>
  <c r="I15" i="36"/>
  <c r="K15" i="36" s="1"/>
  <c r="L15" i="36" s="1"/>
  <c r="M15" i="36" s="1"/>
  <c r="J15" i="36"/>
  <c r="U15" i="36"/>
  <c r="W15" i="36" s="1"/>
  <c r="X15" i="36" s="1"/>
  <c r="Y15" i="36" s="1"/>
  <c r="V15" i="36"/>
  <c r="I16" i="36"/>
  <c r="J16" i="36"/>
  <c r="K16" i="36" s="1"/>
  <c r="L16" i="36" s="1"/>
  <c r="M16" i="36" s="1"/>
  <c r="U16" i="36"/>
  <c r="V16" i="36"/>
  <c r="W16" i="36"/>
  <c r="X16" i="36" s="1"/>
  <c r="Y16" i="36" s="1"/>
  <c r="I17" i="36"/>
  <c r="K17" i="36" s="1"/>
  <c r="L17" i="36" s="1"/>
  <c r="M17" i="36" s="1"/>
  <c r="J17" i="36"/>
  <c r="U17" i="36"/>
  <c r="W17" i="36" s="1"/>
  <c r="X17" i="36" s="1"/>
  <c r="Y17" i="36" s="1"/>
  <c r="V17" i="36"/>
  <c r="I18" i="36"/>
  <c r="J18" i="36"/>
  <c r="K18" i="36" s="1"/>
  <c r="L18" i="36" s="1"/>
  <c r="M18" i="36" s="1"/>
  <c r="U18" i="36"/>
  <c r="V18" i="36"/>
  <c r="W18" i="36"/>
  <c r="X18" i="36" s="1"/>
  <c r="Y18" i="36" s="1"/>
  <c r="I19" i="36"/>
  <c r="K19" i="36" s="1"/>
  <c r="L19" i="36" s="1"/>
  <c r="M19" i="36" s="1"/>
  <c r="J19" i="36"/>
  <c r="U19" i="36"/>
  <c r="W19" i="36" s="1"/>
  <c r="X19" i="36" s="1"/>
  <c r="Y19" i="36" s="1"/>
  <c r="V19" i="36"/>
  <c r="I21" i="36"/>
  <c r="J21" i="36"/>
  <c r="K21" i="36" s="1"/>
  <c r="L21" i="36" s="1"/>
  <c r="M21" i="36" s="1"/>
  <c r="U21" i="36"/>
  <c r="V21" i="36"/>
  <c r="W21" i="36"/>
  <c r="X21" i="36" s="1"/>
  <c r="Y21" i="36" s="1"/>
  <c r="I22" i="36"/>
  <c r="K22" i="36" s="1"/>
  <c r="L22" i="36" s="1"/>
  <c r="M22" i="36" s="1"/>
  <c r="J22" i="36"/>
  <c r="U22" i="36"/>
  <c r="W22" i="36" s="1"/>
  <c r="X22" i="36" s="1"/>
  <c r="Y22" i="36" s="1"/>
  <c r="V22" i="36"/>
  <c r="I24" i="36"/>
  <c r="J24" i="36"/>
  <c r="K24" i="36" s="1"/>
  <c r="L24" i="36" s="1"/>
  <c r="M24" i="36" s="1"/>
  <c r="U24" i="36"/>
  <c r="V24" i="36"/>
  <c r="W24" i="36"/>
  <c r="X24" i="36" s="1"/>
  <c r="Y24" i="36" s="1"/>
  <c r="I25" i="36"/>
  <c r="K25" i="36" s="1"/>
  <c r="L25" i="36" s="1"/>
  <c r="M25" i="36" s="1"/>
  <c r="J25" i="36"/>
  <c r="U25" i="36"/>
  <c r="W25" i="36" s="1"/>
  <c r="X25" i="36" s="1"/>
  <c r="Y25" i="36" s="1"/>
  <c r="V25" i="36"/>
  <c r="I26" i="36"/>
  <c r="J26" i="36"/>
  <c r="K26" i="36" s="1"/>
  <c r="L26" i="36" s="1"/>
  <c r="M26" i="36" s="1"/>
  <c r="U26" i="36"/>
  <c r="V26" i="36"/>
  <c r="W26" i="36"/>
  <c r="X26" i="36" s="1"/>
  <c r="Y26" i="36" s="1"/>
  <c r="I27" i="36"/>
  <c r="K27" i="36" s="1"/>
  <c r="L27" i="36" s="1"/>
  <c r="M27" i="36" s="1"/>
  <c r="J27" i="36"/>
  <c r="U27" i="36"/>
  <c r="W27" i="36" s="1"/>
  <c r="X27" i="36" s="1"/>
  <c r="Y27" i="36" s="1"/>
  <c r="V27" i="36"/>
  <c r="I28" i="36"/>
  <c r="J28" i="36"/>
  <c r="K28" i="36" s="1"/>
  <c r="L28" i="36" s="1"/>
  <c r="M28" i="36" s="1"/>
  <c r="U28" i="36"/>
  <c r="V28" i="36"/>
  <c r="W28" i="36"/>
  <c r="X28" i="36" s="1"/>
  <c r="Y28" i="36" s="1"/>
  <c r="I29" i="36"/>
  <c r="K29" i="36" s="1"/>
  <c r="L29" i="36" s="1"/>
  <c r="M29" i="36" s="1"/>
  <c r="J29" i="36"/>
  <c r="U29" i="36"/>
  <c r="W29" i="36" s="1"/>
  <c r="X29" i="36" s="1"/>
  <c r="Y29" i="36" s="1"/>
  <c r="V29" i="36"/>
  <c r="I31" i="36"/>
  <c r="J31" i="36"/>
  <c r="K31" i="36" s="1"/>
  <c r="L31" i="36" s="1"/>
  <c r="M31" i="36" s="1"/>
  <c r="U31" i="36"/>
  <c r="V31" i="36"/>
  <c r="W31" i="36"/>
  <c r="X31" i="36" s="1"/>
  <c r="Y31" i="36" s="1"/>
  <c r="I32" i="36"/>
  <c r="K32" i="36" s="1"/>
  <c r="L32" i="36" s="1"/>
  <c r="M32" i="36" s="1"/>
  <c r="J32" i="36"/>
  <c r="U32" i="36"/>
  <c r="W32" i="36" s="1"/>
  <c r="X32" i="36" s="1"/>
  <c r="Y32" i="36" s="1"/>
  <c r="V32" i="36"/>
  <c r="I14" i="35"/>
  <c r="J14" i="35"/>
  <c r="K14" i="35"/>
  <c r="L14" i="35"/>
  <c r="M14" i="35" s="1"/>
  <c r="U14" i="35"/>
  <c r="V14" i="35"/>
  <c r="W14" i="35"/>
  <c r="X14" i="35" s="1"/>
  <c r="Y14" i="35" s="1"/>
  <c r="I15" i="35"/>
  <c r="K15" i="35" s="1"/>
  <c r="L15" i="35" s="1"/>
  <c r="M15" i="35" s="1"/>
  <c r="J15" i="35"/>
  <c r="U15" i="35"/>
  <c r="W15" i="35" s="1"/>
  <c r="X15" i="35" s="1"/>
  <c r="Y15" i="35" s="1"/>
  <c r="V15" i="35"/>
  <c r="I16" i="35"/>
  <c r="J16" i="35"/>
  <c r="K16" i="35"/>
  <c r="L16" i="35"/>
  <c r="M16" i="35" s="1"/>
  <c r="U16" i="35"/>
  <c r="V16" i="35"/>
  <c r="W16" i="35"/>
  <c r="X16" i="35" s="1"/>
  <c r="Y16" i="35" s="1"/>
  <c r="I17" i="35"/>
  <c r="K17" i="35" s="1"/>
  <c r="L17" i="35" s="1"/>
  <c r="M17" i="35" s="1"/>
  <c r="J17" i="35"/>
  <c r="U17" i="35"/>
  <c r="W17" i="35" s="1"/>
  <c r="X17" i="35" s="1"/>
  <c r="Y17" i="35" s="1"/>
  <c r="V17" i="35"/>
  <c r="I18" i="35"/>
  <c r="J18" i="35"/>
  <c r="K18" i="35"/>
  <c r="L18" i="35"/>
  <c r="M18" i="35" s="1"/>
  <c r="U18" i="35"/>
  <c r="V18" i="35"/>
  <c r="W18" i="35"/>
  <c r="X18" i="35" s="1"/>
  <c r="Y18" i="35" s="1"/>
  <c r="I19" i="35"/>
  <c r="K19" i="35" s="1"/>
  <c r="L19" i="35" s="1"/>
  <c r="M19" i="35" s="1"/>
  <c r="J19" i="35"/>
  <c r="U19" i="35"/>
  <c r="W19" i="35" s="1"/>
  <c r="X19" i="35" s="1"/>
  <c r="Y19" i="35" s="1"/>
  <c r="V19" i="35"/>
  <c r="I21" i="35"/>
  <c r="J21" i="35"/>
  <c r="K21" i="35"/>
  <c r="L21" i="35"/>
  <c r="M21" i="35" s="1"/>
  <c r="U21" i="35"/>
  <c r="V21" i="35"/>
  <c r="W21" i="35"/>
  <c r="X21" i="35" s="1"/>
  <c r="Y21" i="35" s="1"/>
  <c r="I22" i="35"/>
  <c r="K22" i="35" s="1"/>
  <c r="L22" i="35" s="1"/>
  <c r="M22" i="35" s="1"/>
  <c r="J22" i="35"/>
  <c r="U22" i="35"/>
  <c r="W22" i="35" s="1"/>
  <c r="X22" i="35" s="1"/>
  <c r="Y22" i="35" s="1"/>
  <c r="V22" i="35"/>
  <c r="I24" i="35"/>
  <c r="J24" i="35"/>
  <c r="K24" i="35"/>
  <c r="L24" i="35"/>
  <c r="M24" i="35" s="1"/>
  <c r="U24" i="35"/>
  <c r="V24" i="35"/>
  <c r="W24" i="35"/>
  <c r="X24" i="35" s="1"/>
  <c r="Y24" i="35" s="1"/>
  <c r="I25" i="35"/>
  <c r="K25" i="35" s="1"/>
  <c r="L25" i="35" s="1"/>
  <c r="M25" i="35" s="1"/>
  <c r="J25" i="35"/>
  <c r="U25" i="35"/>
  <c r="W25" i="35" s="1"/>
  <c r="X25" i="35" s="1"/>
  <c r="Y25" i="35" s="1"/>
  <c r="V25" i="35"/>
  <c r="I26" i="35"/>
  <c r="J26" i="35"/>
  <c r="K26" i="35"/>
  <c r="L26" i="35"/>
  <c r="M26" i="35" s="1"/>
  <c r="U26" i="35"/>
  <c r="V26" i="35"/>
  <c r="W26" i="35"/>
  <c r="X26" i="35" s="1"/>
  <c r="Y26" i="35" s="1"/>
  <c r="I27" i="35"/>
  <c r="K27" i="35" s="1"/>
  <c r="L27" i="35" s="1"/>
  <c r="M27" i="35" s="1"/>
  <c r="J27" i="35"/>
  <c r="U27" i="35"/>
  <c r="W27" i="35" s="1"/>
  <c r="X27" i="35" s="1"/>
  <c r="Y27" i="35" s="1"/>
  <c r="V27" i="35"/>
  <c r="I28" i="35"/>
  <c r="J28" i="35"/>
  <c r="K28" i="35"/>
  <c r="L28" i="35"/>
  <c r="M28" i="35" s="1"/>
  <c r="U28" i="35"/>
  <c r="V28" i="35"/>
  <c r="W28" i="35"/>
  <c r="X28" i="35" s="1"/>
  <c r="Y28" i="35" s="1"/>
  <c r="I29" i="35"/>
  <c r="K29" i="35" s="1"/>
  <c r="L29" i="35" s="1"/>
  <c r="M29" i="35" s="1"/>
  <c r="J29" i="35"/>
  <c r="U29" i="35"/>
  <c r="W29" i="35" s="1"/>
  <c r="X29" i="35" s="1"/>
  <c r="Y29" i="35" s="1"/>
  <c r="V29" i="35"/>
  <c r="I31" i="35"/>
  <c r="J31" i="35"/>
  <c r="K31" i="35"/>
  <c r="L31" i="35"/>
  <c r="M31" i="35" s="1"/>
  <c r="U31" i="35"/>
  <c r="V31" i="35"/>
  <c r="W31" i="35"/>
  <c r="X31" i="35" s="1"/>
  <c r="Y31" i="35" s="1"/>
  <c r="I32" i="35"/>
  <c r="K32" i="35" s="1"/>
  <c r="L32" i="35" s="1"/>
  <c r="M32" i="35" s="1"/>
  <c r="J32" i="35"/>
  <c r="U32" i="35"/>
  <c r="W32" i="35" s="1"/>
  <c r="X32" i="35" s="1"/>
  <c r="Y32" i="35" s="1"/>
  <c r="V32" i="35"/>
  <c r="I14" i="34"/>
  <c r="K14" i="34" s="1"/>
  <c r="L14" i="34" s="1"/>
  <c r="M14" i="34" s="1"/>
  <c r="J14" i="34"/>
  <c r="U14" i="34"/>
  <c r="V14" i="34"/>
  <c r="W14" i="34"/>
  <c r="X14" i="34" s="1"/>
  <c r="Y14" i="34" s="1"/>
  <c r="I15" i="34"/>
  <c r="K15" i="34" s="1"/>
  <c r="L15" i="34" s="1"/>
  <c r="M15" i="34" s="1"/>
  <c r="J15" i="34"/>
  <c r="U15" i="34"/>
  <c r="W15" i="34" s="1"/>
  <c r="X15" i="34" s="1"/>
  <c r="Y15" i="34" s="1"/>
  <c r="V15" i="34"/>
  <c r="I16" i="34"/>
  <c r="K16" i="34" s="1"/>
  <c r="L16" i="34" s="1"/>
  <c r="M16" i="34" s="1"/>
  <c r="J16" i="34"/>
  <c r="U16" i="34"/>
  <c r="V16" i="34"/>
  <c r="W16" i="34"/>
  <c r="X16" i="34" s="1"/>
  <c r="Y16" i="34" s="1"/>
  <c r="I17" i="34"/>
  <c r="K17" i="34" s="1"/>
  <c r="L17" i="34" s="1"/>
  <c r="M17" i="34" s="1"/>
  <c r="J17" i="34"/>
  <c r="U17" i="34"/>
  <c r="W17" i="34" s="1"/>
  <c r="X17" i="34" s="1"/>
  <c r="Y17" i="34" s="1"/>
  <c r="V17" i="34"/>
  <c r="I18" i="34"/>
  <c r="K18" i="34" s="1"/>
  <c r="L18" i="34" s="1"/>
  <c r="M18" i="34" s="1"/>
  <c r="J18" i="34"/>
  <c r="U18" i="34"/>
  <c r="V18" i="34"/>
  <c r="W18" i="34"/>
  <c r="X18" i="34" s="1"/>
  <c r="Y18" i="34" s="1"/>
  <c r="I19" i="34"/>
  <c r="K19" i="34" s="1"/>
  <c r="L19" i="34" s="1"/>
  <c r="M19" i="34" s="1"/>
  <c r="J19" i="34"/>
  <c r="U19" i="34"/>
  <c r="W19" i="34" s="1"/>
  <c r="X19" i="34" s="1"/>
  <c r="Y19" i="34" s="1"/>
  <c r="V19" i="34"/>
  <c r="I21" i="34"/>
  <c r="K21" i="34" s="1"/>
  <c r="L21" i="34" s="1"/>
  <c r="M21" i="34" s="1"/>
  <c r="J21" i="34"/>
  <c r="U21" i="34"/>
  <c r="V21" i="34"/>
  <c r="W21" i="34"/>
  <c r="X21" i="34" s="1"/>
  <c r="Y21" i="34" s="1"/>
  <c r="I22" i="34"/>
  <c r="J22" i="34"/>
  <c r="K22" i="34" s="1"/>
  <c r="L22" i="34" s="1"/>
  <c r="M22" i="34" s="1"/>
  <c r="U22" i="34"/>
  <c r="W22" i="34" s="1"/>
  <c r="X22" i="34" s="1"/>
  <c r="Y22" i="34" s="1"/>
  <c r="V22" i="34"/>
  <c r="I24" i="34"/>
  <c r="K24" i="34" s="1"/>
  <c r="L24" i="34" s="1"/>
  <c r="M24" i="34" s="1"/>
  <c r="J24" i="34"/>
  <c r="U24" i="34"/>
  <c r="V24" i="34"/>
  <c r="W24" i="34"/>
  <c r="X24" i="34" s="1"/>
  <c r="Y24" i="34" s="1"/>
  <c r="I25" i="34"/>
  <c r="J25" i="34"/>
  <c r="K25" i="34" s="1"/>
  <c r="L25" i="34" s="1"/>
  <c r="M25" i="34" s="1"/>
  <c r="U25" i="34"/>
  <c r="W25" i="34" s="1"/>
  <c r="X25" i="34" s="1"/>
  <c r="Y25" i="34" s="1"/>
  <c r="V25" i="34"/>
  <c r="I26" i="34"/>
  <c r="K26" i="34" s="1"/>
  <c r="L26" i="34" s="1"/>
  <c r="M26" i="34" s="1"/>
  <c r="J26" i="34"/>
  <c r="U26" i="34"/>
  <c r="V26" i="34"/>
  <c r="W26" i="34"/>
  <c r="X26" i="34" s="1"/>
  <c r="Y26" i="34" s="1"/>
  <c r="I27" i="34"/>
  <c r="J27" i="34"/>
  <c r="K27" i="34" s="1"/>
  <c r="L27" i="34" s="1"/>
  <c r="M27" i="34" s="1"/>
  <c r="U27" i="34"/>
  <c r="W27" i="34" s="1"/>
  <c r="X27" i="34" s="1"/>
  <c r="Y27" i="34" s="1"/>
  <c r="V27" i="34"/>
  <c r="I28" i="34"/>
  <c r="K28" i="34" s="1"/>
  <c r="L28" i="34" s="1"/>
  <c r="M28" i="34" s="1"/>
  <c r="J28" i="34"/>
  <c r="U28" i="34"/>
  <c r="V28" i="34"/>
  <c r="W28" i="34"/>
  <c r="X28" i="34" s="1"/>
  <c r="Y28" i="34" s="1"/>
  <c r="I29" i="34"/>
  <c r="J29" i="34"/>
  <c r="K29" i="34" s="1"/>
  <c r="L29" i="34" s="1"/>
  <c r="M29" i="34" s="1"/>
  <c r="U29" i="34"/>
  <c r="W29" i="34" s="1"/>
  <c r="X29" i="34" s="1"/>
  <c r="Y29" i="34" s="1"/>
  <c r="V29" i="34"/>
  <c r="I31" i="34"/>
  <c r="K31" i="34" s="1"/>
  <c r="L31" i="34" s="1"/>
  <c r="M31" i="34" s="1"/>
  <c r="J31" i="34"/>
  <c r="U31" i="34"/>
  <c r="V31" i="34"/>
  <c r="W31" i="34"/>
  <c r="X31" i="34" s="1"/>
  <c r="Y31" i="34" s="1"/>
  <c r="I32" i="34"/>
  <c r="J32" i="34"/>
  <c r="K32" i="34" s="1"/>
  <c r="L32" i="34" s="1"/>
  <c r="M32" i="34" s="1"/>
  <c r="U32" i="34"/>
  <c r="W32" i="34" s="1"/>
  <c r="X32" i="34" s="1"/>
  <c r="Y32" i="34" s="1"/>
  <c r="V32" i="34"/>
  <c r="I14" i="33"/>
  <c r="K14" i="33" s="1"/>
  <c r="L14" i="33" s="1"/>
  <c r="M14" i="33" s="1"/>
  <c r="J14" i="33"/>
  <c r="U14" i="33"/>
  <c r="V14" i="33"/>
  <c r="W14" i="33"/>
  <c r="X14" i="33" s="1"/>
  <c r="Y14" i="33" s="1"/>
  <c r="I15" i="33"/>
  <c r="K15" i="33" s="1"/>
  <c r="L15" i="33" s="1"/>
  <c r="M15" i="33" s="1"/>
  <c r="J15" i="33"/>
  <c r="U15" i="33"/>
  <c r="W15" i="33" s="1"/>
  <c r="X15" i="33" s="1"/>
  <c r="Y15" i="33" s="1"/>
  <c r="V15" i="33"/>
  <c r="I16" i="33"/>
  <c r="J16" i="33"/>
  <c r="K16" i="33" s="1"/>
  <c r="L16" i="33" s="1"/>
  <c r="M16" i="33" s="1"/>
  <c r="U16" i="33"/>
  <c r="V16" i="33"/>
  <c r="W16" i="33"/>
  <c r="X16" i="33" s="1"/>
  <c r="Y16" i="33" s="1"/>
  <c r="I17" i="33"/>
  <c r="K17" i="33" s="1"/>
  <c r="L17" i="33" s="1"/>
  <c r="M17" i="33" s="1"/>
  <c r="J17" i="33"/>
  <c r="U17" i="33"/>
  <c r="W17" i="33" s="1"/>
  <c r="X17" i="33" s="1"/>
  <c r="Y17" i="33" s="1"/>
  <c r="V17" i="33"/>
  <c r="I18" i="33"/>
  <c r="J18" i="33"/>
  <c r="K18" i="33" s="1"/>
  <c r="L18" i="33" s="1"/>
  <c r="M18" i="33" s="1"/>
  <c r="U18" i="33"/>
  <c r="V18" i="33"/>
  <c r="W18" i="33"/>
  <c r="X18" i="33" s="1"/>
  <c r="Y18" i="33" s="1"/>
  <c r="I19" i="33"/>
  <c r="K19" i="33" s="1"/>
  <c r="L19" i="33" s="1"/>
  <c r="M19" i="33" s="1"/>
  <c r="J19" i="33"/>
  <c r="U19" i="33"/>
  <c r="W19" i="33" s="1"/>
  <c r="X19" i="33" s="1"/>
  <c r="Y19" i="33" s="1"/>
  <c r="V19" i="33"/>
  <c r="I20" i="33"/>
  <c r="J20" i="33"/>
  <c r="I21" i="33"/>
  <c r="K21" i="33" s="1"/>
  <c r="L21" i="33" s="1"/>
  <c r="M21" i="33" s="1"/>
  <c r="J21" i="33"/>
  <c r="U21" i="33"/>
  <c r="W21" i="33" s="1"/>
  <c r="X21" i="33" s="1"/>
  <c r="Y21" i="33" s="1"/>
  <c r="V21" i="33"/>
  <c r="I22" i="33"/>
  <c r="J22" i="33"/>
  <c r="K22" i="33" s="1"/>
  <c r="L22" i="33" s="1"/>
  <c r="M22" i="33" s="1"/>
  <c r="U22" i="33"/>
  <c r="V22" i="33"/>
  <c r="W22" i="33"/>
  <c r="X22" i="33" s="1"/>
  <c r="Y22" i="33" s="1"/>
  <c r="I23" i="33"/>
  <c r="J23" i="33"/>
  <c r="I24" i="33"/>
  <c r="J24" i="33"/>
  <c r="K24" i="33" s="1"/>
  <c r="L24" i="33" s="1"/>
  <c r="M24" i="33" s="1"/>
  <c r="U24" i="33"/>
  <c r="V24" i="33"/>
  <c r="W24" i="33"/>
  <c r="X24" i="33" s="1"/>
  <c r="Y24" i="33" s="1"/>
  <c r="I25" i="33"/>
  <c r="K25" i="33" s="1"/>
  <c r="L25" i="33" s="1"/>
  <c r="M25" i="33" s="1"/>
  <c r="J25" i="33"/>
  <c r="U25" i="33"/>
  <c r="W25" i="33" s="1"/>
  <c r="X25" i="33" s="1"/>
  <c r="Y25" i="33" s="1"/>
  <c r="V25" i="33"/>
  <c r="I26" i="33"/>
  <c r="J26" i="33"/>
  <c r="K26" i="33" s="1"/>
  <c r="L26" i="33" s="1"/>
  <c r="M26" i="33" s="1"/>
  <c r="U26" i="33"/>
  <c r="V26" i="33"/>
  <c r="W26" i="33"/>
  <c r="X26" i="33" s="1"/>
  <c r="Y26" i="33" s="1"/>
  <c r="I27" i="33"/>
  <c r="K27" i="33" s="1"/>
  <c r="L27" i="33" s="1"/>
  <c r="M27" i="33" s="1"/>
  <c r="J27" i="33"/>
  <c r="U27" i="33"/>
  <c r="W27" i="33" s="1"/>
  <c r="X27" i="33" s="1"/>
  <c r="Y27" i="33" s="1"/>
  <c r="V27" i="33"/>
  <c r="I28" i="33"/>
  <c r="J28" i="33"/>
  <c r="K28" i="33" s="1"/>
  <c r="L28" i="33" s="1"/>
  <c r="M28" i="33" s="1"/>
  <c r="U28" i="33"/>
  <c r="V28" i="33"/>
  <c r="W28" i="33"/>
  <c r="X28" i="33" s="1"/>
  <c r="Y28" i="33" s="1"/>
  <c r="I29" i="33"/>
  <c r="K29" i="33" s="1"/>
  <c r="L29" i="33" s="1"/>
  <c r="M29" i="33" s="1"/>
  <c r="J29" i="33"/>
  <c r="U29" i="33"/>
  <c r="W29" i="33" s="1"/>
  <c r="X29" i="33" s="1"/>
  <c r="Y29" i="33" s="1"/>
  <c r="V29" i="33"/>
  <c r="I30" i="33"/>
  <c r="J30" i="33"/>
  <c r="I31" i="33"/>
  <c r="K31" i="33" s="1"/>
  <c r="L31" i="33" s="1"/>
  <c r="M31" i="33" s="1"/>
  <c r="J31" i="33"/>
  <c r="U31" i="33"/>
  <c r="W31" i="33" s="1"/>
  <c r="X31" i="33" s="1"/>
  <c r="Y31" i="33" s="1"/>
  <c r="V31" i="33"/>
  <c r="I32" i="33"/>
  <c r="J32" i="33"/>
  <c r="K32" i="33" s="1"/>
  <c r="L32" i="33" s="1"/>
  <c r="M32" i="33" s="1"/>
  <c r="U32" i="33"/>
  <c r="V32" i="33"/>
  <c r="W32" i="33"/>
  <c r="X32" i="33" s="1"/>
  <c r="Y32" i="33" s="1"/>
  <c r="I14" i="32"/>
  <c r="K14" i="32" s="1"/>
  <c r="L14" i="32" s="1"/>
  <c r="M14" i="32" s="1"/>
  <c r="J14" i="32"/>
  <c r="U14" i="32"/>
  <c r="V14" i="32"/>
  <c r="W14" i="32"/>
  <c r="X14" i="32" s="1"/>
  <c r="Y14" i="32" s="1"/>
  <c r="I15" i="32"/>
  <c r="K15" i="32" s="1"/>
  <c r="L15" i="32" s="1"/>
  <c r="M15" i="32" s="1"/>
  <c r="J15" i="32"/>
  <c r="U15" i="32"/>
  <c r="W15" i="32" s="1"/>
  <c r="X15" i="32" s="1"/>
  <c r="Y15" i="32" s="1"/>
  <c r="V15" i="32"/>
  <c r="I16" i="32"/>
  <c r="J16" i="32"/>
  <c r="K16" i="32" s="1"/>
  <c r="L16" i="32" s="1"/>
  <c r="M16" i="32" s="1"/>
  <c r="U16" i="32"/>
  <c r="V16" i="32"/>
  <c r="W16" i="32"/>
  <c r="X16" i="32" s="1"/>
  <c r="Y16" i="32" s="1"/>
  <c r="I17" i="32"/>
  <c r="K17" i="32" s="1"/>
  <c r="L17" i="32" s="1"/>
  <c r="M17" i="32" s="1"/>
  <c r="J17" i="32"/>
  <c r="U17" i="32"/>
  <c r="W17" i="32" s="1"/>
  <c r="X17" i="32" s="1"/>
  <c r="Y17" i="32" s="1"/>
  <c r="V17" i="32"/>
  <c r="I18" i="32"/>
  <c r="J18" i="32"/>
  <c r="K18" i="32" s="1"/>
  <c r="L18" i="32" s="1"/>
  <c r="M18" i="32" s="1"/>
  <c r="U18" i="32"/>
  <c r="V18" i="32"/>
  <c r="W18" i="32"/>
  <c r="X18" i="32" s="1"/>
  <c r="Y18" i="32" s="1"/>
  <c r="I19" i="32"/>
  <c r="K19" i="32" s="1"/>
  <c r="L19" i="32" s="1"/>
  <c r="M19" i="32" s="1"/>
  <c r="J19" i="32"/>
  <c r="U19" i="32"/>
  <c r="W19" i="32" s="1"/>
  <c r="X19" i="32" s="1"/>
  <c r="Y19" i="32" s="1"/>
  <c r="V19" i="32"/>
  <c r="I21" i="32"/>
  <c r="J21" i="32"/>
  <c r="K21" i="32" s="1"/>
  <c r="L21" i="32" s="1"/>
  <c r="M21" i="32" s="1"/>
  <c r="U21" i="32"/>
  <c r="V21" i="32"/>
  <c r="W21" i="32"/>
  <c r="X21" i="32" s="1"/>
  <c r="Y21" i="32" s="1"/>
  <c r="I22" i="32"/>
  <c r="K22" i="32" s="1"/>
  <c r="L22" i="32" s="1"/>
  <c r="M22" i="32" s="1"/>
  <c r="J22" i="32"/>
  <c r="U22" i="32"/>
  <c r="W22" i="32" s="1"/>
  <c r="X22" i="32" s="1"/>
  <c r="Y22" i="32" s="1"/>
  <c r="V22" i="32"/>
  <c r="I24" i="32"/>
  <c r="J24" i="32"/>
  <c r="K24" i="32" s="1"/>
  <c r="L24" i="32" s="1"/>
  <c r="M24" i="32" s="1"/>
  <c r="U24" i="32"/>
  <c r="V24" i="32"/>
  <c r="W24" i="32"/>
  <c r="X24" i="32" s="1"/>
  <c r="Y24" i="32" s="1"/>
  <c r="I25" i="32"/>
  <c r="K25" i="32" s="1"/>
  <c r="L25" i="32" s="1"/>
  <c r="M25" i="32" s="1"/>
  <c r="J25" i="32"/>
  <c r="U25" i="32"/>
  <c r="W25" i="32" s="1"/>
  <c r="X25" i="32" s="1"/>
  <c r="Y25" i="32" s="1"/>
  <c r="V25" i="32"/>
  <c r="I26" i="32"/>
  <c r="J26" i="32"/>
  <c r="K26" i="32" s="1"/>
  <c r="L26" i="32" s="1"/>
  <c r="M26" i="32" s="1"/>
  <c r="U26" i="32"/>
  <c r="V26" i="32"/>
  <c r="W26" i="32"/>
  <c r="X26" i="32" s="1"/>
  <c r="Y26" i="32" s="1"/>
  <c r="I27" i="32"/>
  <c r="K27" i="32" s="1"/>
  <c r="L27" i="32" s="1"/>
  <c r="M27" i="32" s="1"/>
  <c r="J27" i="32"/>
  <c r="U27" i="32"/>
  <c r="W27" i="32" s="1"/>
  <c r="X27" i="32" s="1"/>
  <c r="Y27" i="32" s="1"/>
  <c r="V27" i="32"/>
  <c r="I28" i="32"/>
  <c r="J28" i="32"/>
  <c r="K28" i="32" s="1"/>
  <c r="L28" i="32" s="1"/>
  <c r="M28" i="32" s="1"/>
  <c r="U28" i="32"/>
  <c r="V28" i="32"/>
  <c r="W28" i="32"/>
  <c r="X28" i="32" s="1"/>
  <c r="Y28" i="32" s="1"/>
  <c r="I29" i="32"/>
  <c r="K29" i="32" s="1"/>
  <c r="L29" i="32" s="1"/>
  <c r="M29" i="32" s="1"/>
  <c r="J29" i="32"/>
  <c r="U29" i="32"/>
  <c r="W29" i="32" s="1"/>
  <c r="X29" i="32" s="1"/>
  <c r="Y29" i="32" s="1"/>
  <c r="V29" i="32"/>
  <c r="I31" i="32"/>
  <c r="J31" i="32"/>
  <c r="K31" i="32" s="1"/>
  <c r="L31" i="32" s="1"/>
  <c r="M31" i="32" s="1"/>
  <c r="U31" i="32"/>
  <c r="V31" i="32"/>
  <c r="W31" i="32"/>
  <c r="X31" i="32" s="1"/>
  <c r="Y31" i="32" s="1"/>
  <c r="I32" i="32"/>
  <c r="K32" i="32" s="1"/>
  <c r="L32" i="32" s="1"/>
  <c r="M32" i="32" s="1"/>
  <c r="J32" i="32"/>
  <c r="U32" i="32"/>
  <c r="W32" i="32" s="1"/>
  <c r="X32" i="32" s="1"/>
  <c r="Y32" i="32" s="1"/>
  <c r="V32" i="32"/>
  <c r="I14" i="31"/>
  <c r="K14" i="31" s="1"/>
  <c r="L14" i="31" s="1"/>
  <c r="M14" i="31" s="1"/>
  <c r="J14" i="31"/>
  <c r="U14" i="31"/>
  <c r="V14" i="31"/>
  <c r="W14" i="31"/>
  <c r="X14" i="31" s="1"/>
  <c r="Y14" i="31" s="1"/>
  <c r="I15" i="31"/>
  <c r="K15" i="31" s="1"/>
  <c r="L15" i="31" s="1"/>
  <c r="M15" i="31" s="1"/>
  <c r="J15" i="31"/>
  <c r="U15" i="31"/>
  <c r="W15" i="31" s="1"/>
  <c r="X15" i="31" s="1"/>
  <c r="Y15" i="31" s="1"/>
  <c r="V15" i="31"/>
  <c r="I16" i="31"/>
  <c r="J16" i="31"/>
  <c r="K16" i="31" s="1"/>
  <c r="L16" i="31" s="1"/>
  <c r="M16" i="31" s="1"/>
  <c r="U16" i="31"/>
  <c r="V16" i="31"/>
  <c r="W16" i="31"/>
  <c r="X16" i="31" s="1"/>
  <c r="Y16" i="31" s="1"/>
  <c r="I17" i="31"/>
  <c r="K17" i="31" s="1"/>
  <c r="L17" i="31" s="1"/>
  <c r="M17" i="31" s="1"/>
  <c r="J17" i="31"/>
  <c r="U17" i="31"/>
  <c r="W17" i="31" s="1"/>
  <c r="X17" i="31" s="1"/>
  <c r="Y17" i="31" s="1"/>
  <c r="V17" i="31"/>
  <c r="I18" i="31"/>
  <c r="J18" i="31"/>
  <c r="K18" i="31" s="1"/>
  <c r="L18" i="31" s="1"/>
  <c r="M18" i="31" s="1"/>
  <c r="U18" i="31"/>
  <c r="V18" i="31"/>
  <c r="W18" i="31"/>
  <c r="X18" i="31" s="1"/>
  <c r="Y18" i="31" s="1"/>
  <c r="I19" i="31"/>
  <c r="K19" i="31" s="1"/>
  <c r="L19" i="31" s="1"/>
  <c r="M19" i="31" s="1"/>
  <c r="J19" i="31"/>
  <c r="U19" i="31"/>
  <c r="W19" i="31" s="1"/>
  <c r="X19" i="31" s="1"/>
  <c r="Y19" i="31" s="1"/>
  <c r="V19" i="31"/>
  <c r="I20" i="31"/>
  <c r="I21" i="31"/>
  <c r="J21" i="31"/>
  <c r="K21" i="31"/>
  <c r="L21" i="31" s="1"/>
  <c r="M21" i="31" s="1"/>
  <c r="U21" i="31"/>
  <c r="W21" i="31" s="1"/>
  <c r="X21" i="31" s="1"/>
  <c r="Y21" i="31" s="1"/>
  <c r="V21" i="31"/>
  <c r="I22" i="31"/>
  <c r="K22" i="31" s="1"/>
  <c r="L22" i="31" s="1"/>
  <c r="M22" i="31" s="1"/>
  <c r="J22" i="31"/>
  <c r="U22" i="31"/>
  <c r="W22" i="31" s="1"/>
  <c r="X22" i="31" s="1"/>
  <c r="Y22" i="31" s="1"/>
  <c r="V22" i="31"/>
  <c r="I23" i="31"/>
  <c r="I24" i="31"/>
  <c r="J24" i="31"/>
  <c r="K24" i="31" s="1"/>
  <c r="L24" i="31" s="1"/>
  <c r="M24" i="31" s="1"/>
  <c r="U24" i="31"/>
  <c r="W24" i="31" s="1"/>
  <c r="X24" i="31" s="1"/>
  <c r="Y24" i="31" s="1"/>
  <c r="V24" i="31"/>
  <c r="I25" i="31"/>
  <c r="K25" i="31" s="1"/>
  <c r="L25" i="31" s="1"/>
  <c r="M25" i="31" s="1"/>
  <c r="J25" i="31"/>
  <c r="U25" i="31"/>
  <c r="V25" i="31"/>
  <c r="W25" i="31"/>
  <c r="X25" i="31" s="1"/>
  <c r="Y25" i="31" s="1"/>
  <c r="I26" i="31"/>
  <c r="J26" i="31"/>
  <c r="K26" i="31" s="1"/>
  <c r="L26" i="31" s="1"/>
  <c r="M26" i="31" s="1"/>
  <c r="U26" i="31"/>
  <c r="W26" i="31" s="1"/>
  <c r="X26" i="31" s="1"/>
  <c r="Y26" i="31" s="1"/>
  <c r="V26" i="31"/>
  <c r="I27" i="31"/>
  <c r="K27" i="31" s="1"/>
  <c r="L27" i="31" s="1"/>
  <c r="M27" i="31" s="1"/>
  <c r="J27" i="31"/>
  <c r="U27" i="31"/>
  <c r="V27" i="31"/>
  <c r="W27" i="31"/>
  <c r="X27" i="31" s="1"/>
  <c r="Y27" i="31" s="1"/>
  <c r="I28" i="31"/>
  <c r="J28" i="31"/>
  <c r="K28" i="31" s="1"/>
  <c r="L28" i="31" s="1"/>
  <c r="M28" i="31" s="1"/>
  <c r="U28" i="31"/>
  <c r="W28" i="31" s="1"/>
  <c r="X28" i="31" s="1"/>
  <c r="Y28" i="31" s="1"/>
  <c r="V28" i="31"/>
  <c r="I29" i="31"/>
  <c r="K29" i="31" s="1"/>
  <c r="L29" i="31" s="1"/>
  <c r="M29" i="31" s="1"/>
  <c r="J29" i="31"/>
  <c r="U29" i="31"/>
  <c r="V29" i="31"/>
  <c r="W29" i="31"/>
  <c r="X29" i="31" s="1"/>
  <c r="Y29" i="31" s="1"/>
  <c r="I30" i="31"/>
  <c r="I31" i="31"/>
  <c r="K31" i="31" s="1"/>
  <c r="L31" i="31" s="1"/>
  <c r="M31" i="31" s="1"/>
  <c r="J31" i="31"/>
  <c r="U31" i="31"/>
  <c r="W31" i="31" s="1"/>
  <c r="X31" i="31" s="1"/>
  <c r="Y31" i="31" s="1"/>
  <c r="V31" i="31"/>
  <c r="I32" i="31"/>
  <c r="J32" i="31"/>
  <c r="K32" i="31"/>
  <c r="L32" i="31" s="1"/>
  <c r="M32" i="31" s="1"/>
  <c r="U32" i="31"/>
  <c r="V32" i="31"/>
  <c r="W32" i="31" s="1"/>
  <c r="X32" i="31" s="1"/>
  <c r="Y32" i="31" s="1"/>
  <c r="I14" i="30"/>
  <c r="J14" i="30"/>
  <c r="K14" i="30" s="1"/>
  <c r="L14" i="30" s="1"/>
  <c r="M14" i="30" s="1"/>
  <c r="U14" i="30"/>
  <c r="V14" i="30"/>
  <c r="W14" i="30"/>
  <c r="X14" i="30" s="1"/>
  <c r="Y14" i="30" s="1"/>
  <c r="I15" i="30"/>
  <c r="K15" i="30" s="1"/>
  <c r="L15" i="30" s="1"/>
  <c r="M15" i="30" s="1"/>
  <c r="J15" i="30"/>
  <c r="U15" i="30"/>
  <c r="W15" i="30" s="1"/>
  <c r="X15" i="30" s="1"/>
  <c r="Y15" i="30" s="1"/>
  <c r="V15" i="30"/>
  <c r="I16" i="30"/>
  <c r="J16" i="30"/>
  <c r="K16" i="30" s="1"/>
  <c r="L16" i="30" s="1"/>
  <c r="M16" i="30" s="1"/>
  <c r="U16" i="30"/>
  <c r="V16" i="30"/>
  <c r="W16" i="30"/>
  <c r="X16" i="30" s="1"/>
  <c r="Y16" i="30" s="1"/>
  <c r="I17" i="30"/>
  <c r="K17" i="30" s="1"/>
  <c r="L17" i="30" s="1"/>
  <c r="M17" i="30" s="1"/>
  <c r="J17" i="30"/>
  <c r="U17" i="30"/>
  <c r="W17" i="30" s="1"/>
  <c r="X17" i="30" s="1"/>
  <c r="Y17" i="30" s="1"/>
  <c r="V17" i="30"/>
  <c r="I18" i="30"/>
  <c r="J18" i="30"/>
  <c r="K18" i="30" s="1"/>
  <c r="L18" i="30" s="1"/>
  <c r="M18" i="30" s="1"/>
  <c r="U18" i="30"/>
  <c r="V18" i="30"/>
  <c r="W18" i="30"/>
  <c r="X18" i="30" s="1"/>
  <c r="Y18" i="30" s="1"/>
  <c r="I19" i="30"/>
  <c r="K19" i="30" s="1"/>
  <c r="L19" i="30" s="1"/>
  <c r="M19" i="30" s="1"/>
  <c r="J19" i="30"/>
  <c r="U19" i="30"/>
  <c r="W19" i="30" s="1"/>
  <c r="X19" i="30" s="1"/>
  <c r="Y19" i="30" s="1"/>
  <c r="V19" i="30"/>
  <c r="I21" i="30"/>
  <c r="J21" i="30"/>
  <c r="K21" i="30"/>
  <c r="L21" i="30"/>
  <c r="M21" i="30" s="1"/>
  <c r="U21" i="30"/>
  <c r="V21" i="30"/>
  <c r="W21" i="30"/>
  <c r="X21" i="30" s="1"/>
  <c r="Y21" i="30" s="1"/>
  <c r="I22" i="30"/>
  <c r="K22" i="30" s="1"/>
  <c r="L22" i="30" s="1"/>
  <c r="M22" i="30" s="1"/>
  <c r="J22" i="30"/>
  <c r="U22" i="30"/>
  <c r="W22" i="30" s="1"/>
  <c r="X22" i="30" s="1"/>
  <c r="Y22" i="30" s="1"/>
  <c r="V22" i="30"/>
  <c r="I24" i="30"/>
  <c r="J24" i="30"/>
  <c r="K24" i="30"/>
  <c r="L24" i="30"/>
  <c r="M24" i="30" s="1"/>
  <c r="U24" i="30"/>
  <c r="V24" i="30"/>
  <c r="W24" i="30"/>
  <c r="X24" i="30" s="1"/>
  <c r="Y24" i="30" s="1"/>
  <c r="I25" i="30"/>
  <c r="K25" i="30" s="1"/>
  <c r="L25" i="30" s="1"/>
  <c r="M25" i="30" s="1"/>
  <c r="J25" i="30"/>
  <c r="U25" i="30"/>
  <c r="W25" i="30" s="1"/>
  <c r="X25" i="30" s="1"/>
  <c r="Y25" i="30" s="1"/>
  <c r="V25" i="30"/>
  <c r="I26" i="30"/>
  <c r="J26" i="30"/>
  <c r="K26" i="30"/>
  <c r="L26" i="30"/>
  <c r="M26" i="30" s="1"/>
  <c r="U26" i="30"/>
  <c r="V26" i="30"/>
  <c r="W26" i="30"/>
  <c r="X26" i="30" s="1"/>
  <c r="Y26" i="30" s="1"/>
  <c r="I27" i="30"/>
  <c r="K27" i="30" s="1"/>
  <c r="L27" i="30" s="1"/>
  <c r="M27" i="30" s="1"/>
  <c r="J27" i="30"/>
  <c r="U27" i="30"/>
  <c r="W27" i="30" s="1"/>
  <c r="X27" i="30" s="1"/>
  <c r="Y27" i="30" s="1"/>
  <c r="V27" i="30"/>
  <c r="I28" i="30"/>
  <c r="J28" i="30"/>
  <c r="K28" i="30"/>
  <c r="L28" i="30"/>
  <c r="M28" i="30" s="1"/>
  <c r="U28" i="30"/>
  <c r="V28" i="30"/>
  <c r="W28" i="30"/>
  <c r="X28" i="30" s="1"/>
  <c r="Y28" i="30" s="1"/>
  <c r="I29" i="30"/>
  <c r="K29" i="30" s="1"/>
  <c r="L29" i="30" s="1"/>
  <c r="M29" i="30" s="1"/>
  <c r="J29" i="30"/>
  <c r="U29" i="30"/>
  <c r="W29" i="30" s="1"/>
  <c r="X29" i="30" s="1"/>
  <c r="Y29" i="30" s="1"/>
  <c r="V29" i="30"/>
  <c r="I31" i="30"/>
  <c r="J31" i="30"/>
  <c r="K31" i="30"/>
  <c r="L31" i="30"/>
  <c r="M31" i="30" s="1"/>
  <c r="U31" i="30"/>
  <c r="V31" i="30"/>
  <c r="W31" i="30"/>
  <c r="X31" i="30" s="1"/>
  <c r="Y31" i="30" s="1"/>
  <c r="I32" i="30"/>
  <c r="K32" i="30" s="1"/>
  <c r="L32" i="30" s="1"/>
  <c r="M32" i="30" s="1"/>
  <c r="J32" i="30"/>
  <c r="U32" i="30"/>
  <c r="W32" i="30" s="1"/>
  <c r="X32" i="30" s="1"/>
  <c r="Y32" i="30" s="1"/>
  <c r="V32" i="30"/>
  <c r="I14" i="29"/>
  <c r="K14" i="29" s="1"/>
  <c r="L14" i="29" s="1"/>
  <c r="M14" i="29" s="1"/>
  <c r="J14" i="29"/>
  <c r="U14" i="29"/>
  <c r="V14" i="29"/>
  <c r="W14" i="29"/>
  <c r="X14" i="29" s="1"/>
  <c r="Y14" i="29" s="1"/>
  <c r="I15" i="29"/>
  <c r="K15" i="29" s="1"/>
  <c r="L15" i="29" s="1"/>
  <c r="M15" i="29" s="1"/>
  <c r="J15" i="29"/>
  <c r="U15" i="29"/>
  <c r="W15" i="29" s="1"/>
  <c r="X15" i="29" s="1"/>
  <c r="Y15" i="29" s="1"/>
  <c r="V15" i="29"/>
  <c r="I16" i="29"/>
  <c r="J16" i="29"/>
  <c r="K16" i="29" s="1"/>
  <c r="L16" i="29" s="1"/>
  <c r="M16" i="29" s="1"/>
  <c r="U16" i="29"/>
  <c r="V16" i="29"/>
  <c r="W16" i="29"/>
  <c r="X16" i="29" s="1"/>
  <c r="Y16" i="29" s="1"/>
  <c r="I17" i="29"/>
  <c r="K17" i="29" s="1"/>
  <c r="L17" i="29" s="1"/>
  <c r="M17" i="29" s="1"/>
  <c r="J17" i="29"/>
  <c r="U17" i="29"/>
  <c r="W17" i="29" s="1"/>
  <c r="X17" i="29" s="1"/>
  <c r="Y17" i="29" s="1"/>
  <c r="V17" i="29"/>
  <c r="I18" i="29"/>
  <c r="J18" i="29"/>
  <c r="K18" i="29" s="1"/>
  <c r="L18" i="29" s="1"/>
  <c r="M18" i="29" s="1"/>
  <c r="U18" i="29"/>
  <c r="V18" i="29"/>
  <c r="W18" i="29"/>
  <c r="X18" i="29" s="1"/>
  <c r="Y18" i="29" s="1"/>
  <c r="I19" i="29"/>
  <c r="K19" i="29" s="1"/>
  <c r="L19" i="29" s="1"/>
  <c r="M19" i="29" s="1"/>
  <c r="J19" i="29"/>
  <c r="U19" i="29"/>
  <c r="W19" i="29" s="1"/>
  <c r="X19" i="29" s="1"/>
  <c r="Y19" i="29" s="1"/>
  <c r="V19" i="29"/>
  <c r="I21" i="29"/>
  <c r="J21" i="29"/>
  <c r="K21" i="29" s="1"/>
  <c r="L21" i="29" s="1"/>
  <c r="M21" i="29" s="1"/>
  <c r="U21" i="29"/>
  <c r="V21" i="29"/>
  <c r="W21" i="29"/>
  <c r="X21" i="29" s="1"/>
  <c r="Y21" i="29" s="1"/>
  <c r="I22" i="29"/>
  <c r="K22" i="29" s="1"/>
  <c r="L22" i="29" s="1"/>
  <c r="M22" i="29" s="1"/>
  <c r="J22" i="29"/>
  <c r="U22" i="29"/>
  <c r="W22" i="29" s="1"/>
  <c r="X22" i="29" s="1"/>
  <c r="Y22" i="29" s="1"/>
  <c r="V22" i="29"/>
  <c r="I24" i="29"/>
  <c r="J24" i="29"/>
  <c r="K24" i="29" s="1"/>
  <c r="L24" i="29" s="1"/>
  <c r="M24" i="29" s="1"/>
  <c r="U24" i="29"/>
  <c r="V24" i="29"/>
  <c r="W24" i="29"/>
  <c r="X24" i="29" s="1"/>
  <c r="Y24" i="29" s="1"/>
  <c r="I25" i="29"/>
  <c r="K25" i="29" s="1"/>
  <c r="L25" i="29" s="1"/>
  <c r="M25" i="29" s="1"/>
  <c r="J25" i="29"/>
  <c r="U25" i="29"/>
  <c r="W25" i="29" s="1"/>
  <c r="X25" i="29" s="1"/>
  <c r="Y25" i="29" s="1"/>
  <c r="V25" i="29"/>
  <c r="I26" i="29"/>
  <c r="J26" i="29"/>
  <c r="K26" i="29" s="1"/>
  <c r="L26" i="29" s="1"/>
  <c r="M26" i="29" s="1"/>
  <c r="U26" i="29"/>
  <c r="V26" i="29"/>
  <c r="W26" i="29"/>
  <c r="X26" i="29" s="1"/>
  <c r="Y26" i="29" s="1"/>
  <c r="I27" i="29"/>
  <c r="K27" i="29" s="1"/>
  <c r="L27" i="29" s="1"/>
  <c r="M27" i="29" s="1"/>
  <c r="J27" i="29"/>
  <c r="U27" i="29"/>
  <c r="W27" i="29" s="1"/>
  <c r="X27" i="29" s="1"/>
  <c r="Y27" i="29" s="1"/>
  <c r="V27" i="29"/>
  <c r="I28" i="29"/>
  <c r="J28" i="29"/>
  <c r="K28" i="29" s="1"/>
  <c r="L28" i="29" s="1"/>
  <c r="M28" i="29" s="1"/>
  <c r="U28" i="29"/>
  <c r="V28" i="29"/>
  <c r="W28" i="29"/>
  <c r="X28" i="29" s="1"/>
  <c r="Y28" i="29" s="1"/>
  <c r="I29" i="29"/>
  <c r="K29" i="29" s="1"/>
  <c r="L29" i="29" s="1"/>
  <c r="M29" i="29" s="1"/>
  <c r="J29" i="29"/>
  <c r="U29" i="29"/>
  <c r="W29" i="29" s="1"/>
  <c r="X29" i="29" s="1"/>
  <c r="Y29" i="29" s="1"/>
  <c r="V29" i="29"/>
  <c r="I31" i="29"/>
  <c r="J31" i="29"/>
  <c r="K31" i="29" s="1"/>
  <c r="L31" i="29" s="1"/>
  <c r="M31" i="29" s="1"/>
  <c r="U31" i="29"/>
  <c r="V31" i="29"/>
  <c r="W31" i="29"/>
  <c r="X31" i="29" s="1"/>
  <c r="Y31" i="29" s="1"/>
  <c r="I32" i="29"/>
  <c r="K32" i="29" s="1"/>
  <c r="L32" i="29" s="1"/>
  <c r="M32" i="29" s="1"/>
  <c r="J32" i="29"/>
  <c r="U32" i="29"/>
  <c r="W32" i="29" s="1"/>
  <c r="X32" i="29" s="1"/>
  <c r="Y32" i="29" s="1"/>
  <c r="V32" i="29"/>
  <c r="I14" i="28"/>
  <c r="K14" i="28" s="1"/>
  <c r="L14" i="28" s="1"/>
  <c r="M14" i="28" s="1"/>
  <c r="J14" i="28"/>
  <c r="U14" i="28"/>
  <c r="V14" i="28"/>
  <c r="W14" i="28"/>
  <c r="X14" i="28" s="1"/>
  <c r="Y14" i="28" s="1"/>
  <c r="I15" i="28"/>
  <c r="K15" i="28" s="1"/>
  <c r="L15" i="28" s="1"/>
  <c r="M15" i="28" s="1"/>
  <c r="J15" i="28"/>
  <c r="U15" i="28"/>
  <c r="W15" i="28" s="1"/>
  <c r="X15" i="28" s="1"/>
  <c r="Y15" i="28" s="1"/>
  <c r="V15" i="28"/>
  <c r="I16" i="28"/>
  <c r="K16" i="28" s="1"/>
  <c r="L16" i="28" s="1"/>
  <c r="M16" i="28" s="1"/>
  <c r="J16" i="28"/>
  <c r="U16" i="28"/>
  <c r="V16" i="28"/>
  <c r="W16" i="28"/>
  <c r="X16" i="28" s="1"/>
  <c r="Y16" i="28" s="1"/>
  <c r="I17" i="28"/>
  <c r="K17" i="28" s="1"/>
  <c r="L17" i="28" s="1"/>
  <c r="M17" i="28" s="1"/>
  <c r="J17" i="28"/>
  <c r="U17" i="28"/>
  <c r="W17" i="28" s="1"/>
  <c r="X17" i="28" s="1"/>
  <c r="Y17" i="28" s="1"/>
  <c r="V17" i="28"/>
  <c r="I18" i="28"/>
  <c r="J18" i="28"/>
  <c r="K18" i="28" s="1"/>
  <c r="L18" i="28" s="1"/>
  <c r="M18" i="28" s="1"/>
  <c r="U18" i="28"/>
  <c r="V18" i="28"/>
  <c r="W18" i="28"/>
  <c r="X18" i="28" s="1"/>
  <c r="Y18" i="28" s="1"/>
  <c r="I19" i="28"/>
  <c r="K19" i="28" s="1"/>
  <c r="L19" i="28" s="1"/>
  <c r="M19" i="28" s="1"/>
  <c r="J19" i="28"/>
  <c r="U19" i="28"/>
  <c r="W19" i="28" s="1"/>
  <c r="X19" i="28" s="1"/>
  <c r="Y19" i="28" s="1"/>
  <c r="V19" i="28"/>
  <c r="I21" i="28"/>
  <c r="J21" i="28"/>
  <c r="K21" i="28" s="1"/>
  <c r="L21" i="28" s="1"/>
  <c r="M21" i="28" s="1"/>
  <c r="U21" i="28"/>
  <c r="V21" i="28"/>
  <c r="W21" i="28"/>
  <c r="X21" i="28" s="1"/>
  <c r="Y21" i="28" s="1"/>
  <c r="I22" i="28"/>
  <c r="K22" i="28" s="1"/>
  <c r="L22" i="28" s="1"/>
  <c r="M22" i="28" s="1"/>
  <c r="J22" i="28"/>
  <c r="U22" i="28"/>
  <c r="W22" i="28" s="1"/>
  <c r="X22" i="28" s="1"/>
  <c r="Y22" i="28" s="1"/>
  <c r="V22" i="28"/>
  <c r="I24" i="28"/>
  <c r="J24" i="28"/>
  <c r="K24" i="28" s="1"/>
  <c r="L24" i="28" s="1"/>
  <c r="M24" i="28" s="1"/>
  <c r="U24" i="28"/>
  <c r="V24" i="28"/>
  <c r="W24" i="28"/>
  <c r="X24" i="28" s="1"/>
  <c r="Y24" i="28" s="1"/>
  <c r="I25" i="28"/>
  <c r="K25" i="28" s="1"/>
  <c r="L25" i="28" s="1"/>
  <c r="M25" i="28" s="1"/>
  <c r="J25" i="28"/>
  <c r="U25" i="28"/>
  <c r="W25" i="28" s="1"/>
  <c r="X25" i="28" s="1"/>
  <c r="Y25" i="28" s="1"/>
  <c r="V25" i="28"/>
  <c r="I26" i="28"/>
  <c r="J26" i="28"/>
  <c r="K26" i="28" s="1"/>
  <c r="L26" i="28" s="1"/>
  <c r="M26" i="28" s="1"/>
  <c r="U26" i="28"/>
  <c r="V26" i="28"/>
  <c r="W26" i="28"/>
  <c r="X26" i="28" s="1"/>
  <c r="Y26" i="28" s="1"/>
  <c r="I27" i="28"/>
  <c r="K27" i="28" s="1"/>
  <c r="L27" i="28" s="1"/>
  <c r="M27" i="28" s="1"/>
  <c r="J27" i="28"/>
  <c r="U27" i="28"/>
  <c r="W27" i="28" s="1"/>
  <c r="X27" i="28" s="1"/>
  <c r="Y27" i="28" s="1"/>
  <c r="V27" i="28"/>
  <c r="I28" i="28"/>
  <c r="J28" i="28"/>
  <c r="K28" i="28" s="1"/>
  <c r="L28" i="28" s="1"/>
  <c r="M28" i="28" s="1"/>
  <c r="U28" i="28"/>
  <c r="V28" i="28"/>
  <c r="W28" i="28"/>
  <c r="X28" i="28" s="1"/>
  <c r="Y28" i="28" s="1"/>
  <c r="I29" i="28"/>
  <c r="K29" i="28" s="1"/>
  <c r="L29" i="28" s="1"/>
  <c r="M29" i="28" s="1"/>
  <c r="J29" i="28"/>
  <c r="U29" i="28"/>
  <c r="W29" i="28" s="1"/>
  <c r="X29" i="28" s="1"/>
  <c r="Y29" i="28" s="1"/>
  <c r="V29" i="28"/>
  <c r="I31" i="28"/>
  <c r="J31" i="28"/>
  <c r="K31" i="28"/>
  <c r="L31" i="28"/>
  <c r="M31" i="28" s="1"/>
  <c r="U31" i="28"/>
  <c r="V31" i="28"/>
  <c r="W31" i="28"/>
  <c r="X31" i="28" s="1"/>
  <c r="Y31" i="28" s="1"/>
  <c r="I32" i="28"/>
  <c r="J32" i="28"/>
  <c r="K32" i="28"/>
  <c r="L32" i="28"/>
  <c r="M32" i="28" s="1"/>
  <c r="U32" i="28"/>
  <c r="V32" i="28"/>
  <c r="W32" i="28"/>
  <c r="X32" i="28" s="1"/>
  <c r="Y32" i="28" s="1"/>
  <c r="I14" i="27"/>
  <c r="J14" i="27"/>
  <c r="U14" i="27"/>
  <c r="I15" i="27"/>
  <c r="K15" i="27" s="1"/>
  <c r="L15" i="27" s="1"/>
  <c r="M15" i="27" s="1"/>
  <c r="J15" i="27"/>
  <c r="U15" i="27"/>
  <c r="I16" i="27"/>
  <c r="J16" i="27"/>
  <c r="K16" i="27" s="1"/>
  <c r="L16" i="27" s="1"/>
  <c r="M16" i="27" s="1"/>
  <c r="U16" i="27"/>
  <c r="I17" i="27"/>
  <c r="J17" i="27"/>
  <c r="U17" i="27"/>
  <c r="I18" i="27"/>
  <c r="J18" i="27"/>
  <c r="K18" i="27" s="1"/>
  <c r="L18" i="27" s="1"/>
  <c r="M18" i="27" s="1"/>
  <c r="U18" i="27"/>
  <c r="I19" i="27"/>
  <c r="K19" i="27" s="1"/>
  <c r="L19" i="27" s="1"/>
  <c r="M19" i="27" s="1"/>
  <c r="J19" i="27"/>
  <c r="U19" i="27"/>
  <c r="I21" i="27"/>
  <c r="J21" i="27"/>
  <c r="K21" i="27" s="1"/>
  <c r="L21" i="27" s="1"/>
  <c r="M21" i="27" s="1"/>
  <c r="U21" i="27"/>
  <c r="W21" i="27"/>
  <c r="X21" i="27" s="1"/>
  <c r="Y21" i="27" s="1"/>
  <c r="I22" i="27"/>
  <c r="J22" i="27"/>
  <c r="U22" i="27"/>
  <c r="I24" i="27"/>
  <c r="J24" i="27"/>
  <c r="U24" i="27"/>
  <c r="W24" i="27" s="1"/>
  <c r="X24" i="27" s="1"/>
  <c r="Y24" i="27" s="1"/>
  <c r="I25" i="27"/>
  <c r="K25" i="27" s="1"/>
  <c r="L25" i="27" s="1"/>
  <c r="M25" i="27" s="1"/>
  <c r="J25" i="27"/>
  <c r="U25" i="27"/>
  <c r="I26" i="27"/>
  <c r="J26" i="27"/>
  <c r="K26" i="27" s="1"/>
  <c r="L26" i="27" s="1"/>
  <c r="M26" i="27" s="1"/>
  <c r="U26" i="27"/>
  <c r="I27" i="27"/>
  <c r="K27" i="27" s="1"/>
  <c r="L27" i="27" s="1"/>
  <c r="M27" i="27" s="1"/>
  <c r="J27" i="27"/>
  <c r="U27" i="27"/>
  <c r="I28" i="27"/>
  <c r="J28" i="27"/>
  <c r="U28" i="27"/>
  <c r="I29" i="27"/>
  <c r="K29" i="27" s="1"/>
  <c r="L29" i="27" s="1"/>
  <c r="M29" i="27" s="1"/>
  <c r="J29" i="27"/>
  <c r="U29" i="27"/>
  <c r="W29" i="27" s="1"/>
  <c r="I31" i="27"/>
  <c r="J31" i="27"/>
  <c r="K31" i="27"/>
  <c r="L31" i="27"/>
  <c r="M31" i="27" s="1"/>
  <c r="U31" i="27"/>
  <c r="W31" i="27" s="1"/>
  <c r="X31" i="27" s="1"/>
  <c r="Y31" i="27" s="1"/>
  <c r="I32" i="27"/>
  <c r="J32" i="27"/>
  <c r="K32" i="27"/>
  <c r="L32" i="27" s="1"/>
  <c r="M32" i="27" s="1"/>
  <c r="U32" i="27"/>
  <c r="W32" i="27" s="1"/>
  <c r="X32" i="27" s="1"/>
  <c r="Y32" i="27" s="1"/>
  <c r="I14" i="26"/>
  <c r="K14" i="26" s="1"/>
  <c r="L14" i="26" s="1"/>
  <c r="M14" i="26" s="1"/>
  <c r="J14" i="26"/>
  <c r="I15" i="26"/>
  <c r="J15" i="26"/>
  <c r="I16" i="26"/>
  <c r="J16" i="26"/>
  <c r="I17" i="26"/>
  <c r="J17" i="26"/>
  <c r="I18" i="26"/>
  <c r="J18" i="26"/>
  <c r="I19" i="26"/>
  <c r="J19" i="26"/>
  <c r="I21" i="26"/>
  <c r="J21" i="26"/>
  <c r="I22" i="26"/>
  <c r="J22" i="26"/>
  <c r="I24" i="26"/>
  <c r="J24" i="26"/>
  <c r="I25" i="26"/>
  <c r="J25" i="26"/>
  <c r="I26" i="26"/>
  <c r="J26" i="26"/>
  <c r="I27" i="26"/>
  <c r="J27" i="26"/>
  <c r="I28" i="26"/>
  <c r="J28" i="26"/>
  <c r="I29" i="26"/>
  <c r="J29" i="26"/>
  <c r="I31" i="26"/>
  <c r="J31" i="26"/>
  <c r="K31" i="26"/>
  <c r="L31" i="26" s="1"/>
  <c r="M31" i="26" s="1"/>
  <c r="I32" i="26"/>
  <c r="J32" i="26"/>
  <c r="K32" i="26"/>
  <c r="L32" i="26"/>
  <c r="M32" i="26" s="1"/>
  <c r="I14" i="25"/>
  <c r="J14" i="25"/>
  <c r="K14" i="25" s="1"/>
  <c r="L14" i="25" s="1"/>
  <c r="M14" i="25" s="1"/>
  <c r="I15" i="25"/>
  <c r="J15" i="25"/>
  <c r="I16" i="25"/>
  <c r="J16" i="25"/>
  <c r="K16" i="25" s="1"/>
  <c r="L16" i="25" s="1"/>
  <c r="M16" i="25" s="1"/>
  <c r="I17" i="25"/>
  <c r="J17" i="25"/>
  <c r="I18" i="25"/>
  <c r="J18" i="25"/>
  <c r="K18" i="25" s="1"/>
  <c r="L18" i="25" s="1"/>
  <c r="M18" i="25" s="1"/>
  <c r="I19" i="25"/>
  <c r="J19" i="25"/>
  <c r="I21" i="25"/>
  <c r="J21" i="25"/>
  <c r="K21" i="25" s="1"/>
  <c r="L21" i="25" s="1"/>
  <c r="M21" i="25" s="1"/>
  <c r="I22" i="25"/>
  <c r="J22" i="25"/>
  <c r="I24" i="25"/>
  <c r="J24" i="25"/>
  <c r="K24" i="25" s="1"/>
  <c r="L24" i="25" s="1"/>
  <c r="M24" i="25" s="1"/>
  <c r="I25" i="25"/>
  <c r="J25" i="25"/>
  <c r="I26" i="25"/>
  <c r="J26" i="25"/>
  <c r="K26" i="25" s="1"/>
  <c r="L26" i="25" s="1"/>
  <c r="M26" i="25" s="1"/>
  <c r="I27" i="25"/>
  <c r="J27" i="25"/>
  <c r="I28" i="25"/>
  <c r="J28" i="25"/>
  <c r="K28" i="25" s="1"/>
  <c r="L28" i="25" s="1"/>
  <c r="M28" i="25" s="1"/>
  <c r="I29" i="25"/>
  <c r="J29" i="25"/>
  <c r="I31" i="25"/>
  <c r="J31" i="25"/>
  <c r="K31" i="25"/>
  <c r="L31" i="25"/>
  <c r="M31" i="25" s="1"/>
  <c r="I32" i="25"/>
  <c r="J32" i="25"/>
  <c r="K32" i="25"/>
  <c r="L32" i="25"/>
  <c r="M32" i="25" s="1"/>
  <c r="I14" i="24"/>
  <c r="J14" i="24"/>
  <c r="I15" i="24"/>
  <c r="J15" i="24"/>
  <c r="U15" i="24"/>
  <c r="W15" i="24" s="1"/>
  <c r="I16" i="24"/>
  <c r="J16" i="24"/>
  <c r="K16" i="24" s="1"/>
  <c r="L16" i="24" s="1"/>
  <c r="M16" i="24" s="1"/>
  <c r="U16" i="24"/>
  <c r="W16" i="24" s="1"/>
  <c r="I17" i="24"/>
  <c r="K17" i="24" s="1"/>
  <c r="L17" i="24" s="1"/>
  <c r="M17" i="24" s="1"/>
  <c r="J17" i="24"/>
  <c r="U17" i="24"/>
  <c r="I18" i="24"/>
  <c r="K18" i="24" s="1"/>
  <c r="L18" i="24" s="1"/>
  <c r="M18" i="24" s="1"/>
  <c r="J18" i="24"/>
  <c r="U18" i="24"/>
  <c r="W18" i="24" s="1"/>
  <c r="I19" i="24"/>
  <c r="K19" i="24" s="1"/>
  <c r="L19" i="24" s="1"/>
  <c r="M19" i="24" s="1"/>
  <c r="J19" i="24"/>
  <c r="U19" i="24"/>
  <c r="W19" i="24" s="1"/>
  <c r="I21" i="24"/>
  <c r="K21" i="24" s="1"/>
  <c r="L21" i="24" s="1"/>
  <c r="M21" i="24" s="1"/>
  <c r="J21" i="24"/>
  <c r="U21" i="24"/>
  <c r="W21" i="24" s="1"/>
  <c r="X21" i="24" s="1"/>
  <c r="Y21" i="24" s="1"/>
  <c r="I22" i="24"/>
  <c r="J22" i="24"/>
  <c r="U22" i="24"/>
  <c r="W22" i="24" s="1"/>
  <c r="I24" i="24"/>
  <c r="K24" i="24" s="1"/>
  <c r="L24" i="24" s="1"/>
  <c r="M24" i="24" s="1"/>
  <c r="J24" i="24"/>
  <c r="U24" i="24"/>
  <c r="W24" i="24" s="1"/>
  <c r="X24" i="24" s="1"/>
  <c r="Y24" i="24" s="1"/>
  <c r="I25" i="24"/>
  <c r="K25" i="24" s="1"/>
  <c r="L25" i="24" s="1"/>
  <c r="M25" i="24" s="1"/>
  <c r="J25" i="24"/>
  <c r="I26" i="24"/>
  <c r="J26" i="24"/>
  <c r="K26" i="24" s="1"/>
  <c r="L26" i="24" s="1"/>
  <c r="M26" i="24" s="1"/>
  <c r="U26" i="24"/>
  <c r="W26" i="24" s="1"/>
  <c r="I27" i="24"/>
  <c r="K27" i="24" s="1"/>
  <c r="L27" i="24" s="1"/>
  <c r="M27" i="24" s="1"/>
  <c r="J27" i="24"/>
  <c r="U27" i="24"/>
  <c r="I28" i="24"/>
  <c r="J28" i="24"/>
  <c r="K28" i="24" s="1"/>
  <c r="L28" i="24" s="1"/>
  <c r="M28" i="24" s="1"/>
  <c r="U28" i="24"/>
  <c r="W28" i="24" s="1"/>
  <c r="I29" i="24"/>
  <c r="K29" i="24" s="1"/>
  <c r="L29" i="24" s="1"/>
  <c r="M29" i="24" s="1"/>
  <c r="J29" i="24"/>
  <c r="U29" i="24"/>
  <c r="W29" i="24" s="1"/>
  <c r="I31" i="24"/>
  <c r="J31" i="24"/>
  <c r="K31" i="24"/>
  <c r="L31" i="24" s="1"/>
  <c r="M31" i="24" s="1"/>
  <c r="I32" i="24"/>
  <c r="J32" i="24"/>
  <c r="K32" i="24"/>
  <c r="L32" i="24" s="1"/>
  <c r="M32" i="24" s="1"/>
  <c r="U32" i="24"/>
  <c r="I14" i="23"/>
  <c r="J14" i="23"/>
  <c r="U14" i="23"/>
  <c r="I15" i="23"/>
  <c r="J15" i="23"/>
  <c r="U15" i="23"/>
  <c r="I16" i="23"/>
  <c r="J16" i="23"/>
  <c r="U16" i="23"/>
  <c r="I17" i="23"/>
  <c r="J17" i="23"/>
  <c r="K17" i="23" s="1"/>
  <c r="L17" i="23" s="1"/>
  <c r="M17" i="23" s="1"/>
  <c r="U17" i="23"/>
  <c r="I18" i="23"/>
  <c r="J18" i="23"/>
  <c r="U18" i="23"/>
  <c r="X18" i="23"/>
  <c r="Y18" i="23" s="1"/>
  <c r="I19" i="23"/>
  <c r="J19" i="23"/>
  <c r="K19" i="23" s="1"/>
  <c r="L19" i="23" s="1"/>
  <c r="M19" i="23" s="1"/>
  <c r="U19" i="23"/>
  <c r="I21" i="23"/>
  <c r="J21" i="23"/>
  <c r="U21" i="23"/>
  <c r="X21" i="23"/>
  <c r="Y21" i="23" s="1"/>
  <c r="I22" i="23"/>
  <c r="J22" i="23"/>
  <c r="K22" i="23" s="1"/>
  <c r="L22" i="23" s="1"/>
  <c r="M22" i="23" s="1"/>
  <c r="U22" i="23"/>
  <c r="I24" i="23"/>
  <c r="J24" i="23"/>
  <c r="U24" i="23"/>
  <c r="I25" i="23"/>
  <c r="J25" i="23"/>
  <c r="K25" i="23" s="1"/>
  <c r="L25" i="23" s="1"/>
  <c r="M25" i="23" s="1"/>
  <c r="U25" i="23"/>
  <c r="I26" i="23"/>
  <c r="J26" i="23"/>
  <c r="U26" i="23"/>
  <c r="I27" i="23"/>
  <c r="J27" i="23"/>
  <c r="K27" i="23" s="1"/>
  <c r="L27" i="23" s="1"/>
  <c r="M27" i="23" s="1"/>
  <c r="U27" i="23"/>
  <c r="I28" i="23"/>
  <c r="J28" i="23"/>
  <c r="U28" i="23"/>
  <c r="I29" i="23"/>
  <c r="J29" i="23"/>
  <c r="U29" i="23"/>
  <c r="I31" i="23"/>
  <c r="J31" i="23"/>
  <c r="K31" i="23"/>
  <c r="L31" i="23" s="1"/>
  <c r="M31" i="23" s="1"/>
  <c r="U31" i="23"/>
  <c r="X31" i="23"/>
  <c r="Y31" i="23" s="1"/>
  <c r="I32" i="23"/>
  <c r="J32" i="23"/>
  <c r="K32" i="23"/>
  <c r="L32" i="23"/>
  <c r="M32" i="23" s="1"/>
  <c r="U32" i="23"/>
  <c r="X32" i="23"/>
  <c r="Y32" i="23" s="1"/>
  <c r="I14" i="22"/>
  <c r="K14" i="22" s="1"/>
  <c r="L14" i="22" s="1"/>
  <c r="M14" i="22" s="1"/>
  <c r="J14" i="22"/>
  <c r="I15" i="22"/>
  <c r="J15" i="22"/>
  <c r="I16" i="22"/>
  <c r="K16" i="22" s="1"/>
  <c r="L16" i="22" s="1"/>
  <c r="M16" i="22" s="1"/>
  <c r="J16" i="22"/>
  <c r="I17" i="22"/>
  <c r="J17" i="22"/>
  <c r="I18" i="22"/>
  <c r="K18" i="22" s="1"/>
  <c r="L18" i="22" s="1"/>
  <c r="M18" i="22" s="1"/>
  <c r="J18" i="22"/>
  <c r="I19" i="22"/>
  <c r="K19" i="22" s="1"/>
  <c r="L19" i="22" s="1"/>
  <c r="M19" i="22" s="1"/>
  <c r="J19" i="22"/>
  <c r="I21" i="22"/>
  <c r="J21" i="22"/>
  <c r="K21" i="22"/>
  <c r="L21" i="22" s="1"/>
  <c r="M21" i="22" s="1"/>
  <c r="I22" i="22"/>
  <c r="J22" i="22"/>
  <c r="I24" i="22"/>
  <c r="K24" i="22" s="1"/>
  <c r="L24" i="22" s="1"/>
  <c r="M24" i="22" s="1"/>
  <c r="J24" i="22"/>
  <c r="I25" i="22"/>
  <c r="K25" i="22" s="1"/>
  <c r="L25" i="22" s="1"/>
  <c r="M25" i="22" s="1"/>
  <c r="J25" i="22"/>
  <c r="I26" i="22"/>
  <c r="J26" i="22"/>
  <c r="K26" i="22"/>
  <c r="L26" i="22" s="1"/>
  <c r="M26" i="22" s="1"/>
  <c r="I27" i="22"/>
  <c r="J27" i="22"/>
  <c r="I28" i="22"/>
  <c r="K28" i="22" s="1"/>
  <c r="L28" i="22" s="1"/>
  <c r="M28" i="22" s="1"/>
  <c r="J28" i="22"/>
  <c r="X28" i="22"/>
  <c r="Y28" i="22" s="1"/>
  <c r="I29" i="22"/>
  <c r="K29" i="22" s="1"/>
  <c r="L29" i="22" s="1"/>
  <c r="M29" i="22" s="1"/>
  <c r="J29" i="22"/>
  <c r="I31" i="22"/>
  <c r="J31" i="22"/>
  <c r="K31" i="22"/>
  <c r="L31" i="22" s="1"/>
  <c r="M31" i="22" s="1"/>
  <c r="I32" i="22"/>
  <c r="J32" i="22"/>
  <c r="K32" i="22"/>
  <c r="L32" i="22" s="1"/>
  <c r="M32" i="22" s="1"/>
  <c r="I14" i="21"/>
  <c r="K14" i="21" s="1"/>
  <c r="L14" i="21" s="1"/>
  <c r="M14" i="21" s="1"/>
  <c r="J14" i="21"/>
  <c r="I15" i="21"/>
  <c r="K15" i="21" s="1"/>
  <c r="L15" i="21" s="1"/>
  <c r="M15" i="21" s="1"/>
  <c r="J15" i="21"/>
  <c r="I16" i="21"/>
  <c r="J16" i="21"/>
  <c r="K16" i="21"/>
  <c r="L16" i="21" s="1"/>
  <c r="M16" i="21" s="1"/>
  <c r="I17" i="21"/>
  <c r="K17" i="21" s="1"/>
  <c r="L17" i="21" s="1"/>
  <c r="M17" i="21" s="1"/>
  <c r="J17" i="21"/>
  <c r="I18" i="21"/>
  <c r="J18" i="21"/>
  <c r="K18" i="21"/>
  <c r="L18" i="21" s="1"/>
  <c r="M18" i="21" s="1"/>
  <c r="I19" i="21"/>
  <c r="K19" i="21" s="1"/>
  <c r="L19" i="21" s="1"/>
  <c r="M19" i="21" s="1"/>
  <c r="J19" i="21"/>
  <c r="I21" i="21"/>
  <c r="J21" i="21"/>
  <c r="K21" i="21"/>
  <c r="L21" i="21" s="1"/>
  <c r="M21" i="21" s="1"/>
  <c r="I22" i="21"/>
  <c r="K22" i="21" s="1"/>
  <c r="L22" i="21" s="1"/>
  <c r="M22" i="21" s="1"/>
  <c r="J22" i="21"/>
  <c r="I24" i="21"/>
  <c r="J24" i="21"/>
  <c r="K24" i="21"/>
  <c r="L24" i="21" s="1"/>
  <c r="M24" i="21" s="1"/>
  <c r="I25" i="21"/>
  <c r="K25" i="21" s="1"/>
  <c r="L25" i="21" s="1"/>
  <c r="M25" i="21" s="1"/>
  <c r="J25" i="21"/>
  <c r="I26" i="21"/>
  <c r="J26" i="21"/>
  <c r="K26" i="21"/>
  <c r="L26" i="21" s="1"/>
  <c r="M26" i="21" s="1"/>
  <c r="I27" i="21"/>
  <c r="K27" i="21" s="1"/>
  <c r="L27" i="21" s="1"/>
  <c r="M27" i="21" s="1"/>
  <c r="J27" i="21"/>
  <c r="I28" i="21"/>
  <c r="J28" i="21"/>
  <c r="K28" i="21"/>
  <c r="L28" i="21" s="1"/>
  <c r="M28" i="21" s="1"/>
  <c r="X28" i="21"/>
  <c r="Y28" i="21" s="1"/>
  <c r="I29" i="21"/>
  <c r="K29" i="21" s="1"/>
  <c r="L29" i="21" s="1"/>
  <c r="M29" i="21" s="1"/>
  <c r="J29" i="21"/>
  <c r="I31" i="21"/>
  <c r="J31" i="21"/>
  <c r="K31" i="21"/>
  <c r="L31" i="21" s="1"/>
  <c r="M31" i="21" s="1"/>
  <c r="X31" i="21"/>
  <c r="Y31" i="21" s="1"/>
  <c r="I32" i="21"/>
  <c r="J32" i="21"/>
  <c r="K32" i="21"/>
  <c r="L32" i="21" s="1"/>
  <c r="M32" i="21" s="1"/>
  <c r="X32" i="21"/>
  <c r="Y32" i="21" s="1"/>
  <c r="C14" i="20"/>
  <c r="D14" i="20"/>
  <c r="E14" i="20"/>
  <c r="G14" i="20"/>
  <c r="I14" i="20" s="1"/>
  <c r="J14" i="20" s="1"/>
  <c r="K14" i="20" s="1"/>
  <c r="H14" i="20"/>
  <c r="Q14" i="20"/>
  <c r="T14" i="20" s="1"/>
  <c r="V14" i="20" s="1"/>
  <c r="W14" i="20" s="1"/>
  <c r="X14" i="20" s="1"/>
  <c r="R14" i="20"/>
  <c r="U14" i="20"/>
  <c r="C15" i="20"/>
  <c r="D15" i="20"/>
  <c r="G15" i="20" s="1"/>
  <c r="I15" i="20" s="1"/>
  <c r="J15" i="20" s="1"/>
  <c r="K15" i="20" s="1"/>
  <c r="E15" i="20"/>
  <c r="H15" i="20"/>
  <c r="Q15" i="20"/>
  <c r="T15" i="20" s="1"/>
  <c r="R15" i="20"/>
  <c r="U15" i="20" s="1"/>
  <c r="C16" i="20"/>
  <c r="D16" i="20"/>
  <c r="G16" i="20" s="1"/>
  <c r="I16" i="20" s="1"/>
  <c r="J16" i="20" s="1"/>
  <c r="K16" i="20" s="1"/>
  <c r="E16" i="20"/>
  <c r="H16" i="20" s="1"/>
  <c r="Q16" i="20"/>
  <c r="R16" i="20"/>
  <c r="U16" i="20" s="1"/>
  <c r="T16" i="20"/>
  <c r="V16" i="20" s="1"/>
  <c r="W16" i="20" s="1"/>
  <c r="X16" i="20" s="1"/>
  <c r="C17" i="20"/>
  <c r="D17" i="20"/>
  <c r="E17" i="20"/>
  <c r="H17" i="20" s="1"/>
  <c r="G17" i="20"/>
  <c r="I17" i="20" s="1"/>
  <c r="J17" i="20" s="1"/>
  <c r="K17" i="20" s="1"/>
  <c r="Q17" i="20"/>
  <c r="R17" i="20"/>
  <c r="T17" i="20"/>
  <c r="V17" i="20" s="1"/>
  <c r="W17" i="20" s="1"/>
  <c r="X17" i="20" s="1"/>
  <c r="U17" i="20"/>
  <c r="C18" i="20"/>
  <c r="D18" i="20"/>
  <c r="E18" i="20"/>
  <c r="G18" i="20"/>
  <c r="I18" i="20" s="1"/>
  <c r="J18" i="20" s="1"/>
  <c r="K18" i="20" s="1"/>
  <c r="H18" i="20"/>
  <c r="Q18" i="20"/>
  <c r="T18" i="20" s="1"/>
  <c r="V18" i="20" s="1"/>
  <c r="W18" i="20" s="1"/>
  <c r="X18" i="20" s="1"/>
  <c r="R18" i="20"/>
  <c r="U18" i="20"/>
  <c r="C19" i="20"/>
  <c r="D19" i="20"/>
  <c r="G19" i="20" s="1"/>
  <c r="I19" i="20" s="1"/>
  <c r="J19" i="20" s="1"/>
  <c r="K19" i="20" s="1"/>
  <c r="E19" i="20"/>
  <c r="H19" i="20"/>
  <c r="Q19" i="20"/>
  <c r="T19" i="20" s="1"/>
  <c r="R19" i="20"/>
  <c r="U19" i="20" s="1"/>
  <c r="C21" i="20"/>
  <c r="D21" i="20"/>
  <c r="G21" i="20" s="1"/>
  <c r="I21" i="20" s="1"/>
  <c r="J21" i="20" s="1"/>
  <c r="K21" i="20" s="1"/>
  <c r="E21" i="20"/>
  <c r="H21" i="20" s="1"/>
  <c r="Q21" i="20"/>
  <c r="R21" i="20"/>
  <c r="U21" i="20" s="1"/>
  <c r="T21" i="20"/>
  <c r="V21" i="20" s="1"/>
  <c r="W21" i="20" s="1"/>
  <c r="X21" i="20" s="1"/>
  <c r="C22" i="20"/>
  <c r="D22" i="20"/>
  <c r="E22" i="20"/>
  <c r="H22" i="20" s="1"/>
  <c r="G22" i="20"/>
  <c r="I22" i="20" s="1"/>
  <c r="J22" i="20" s="1"/>
  <c r="K22" i="20" s="1"/>
  <c r="Q22" i="20"/>
  <c r="R22" i="20"/>
  <c r="T22" i="20"/>
  <c r="V22" i="20" s="1"/>
  <c r="W22" i="20" s="1"/>
  <c r="X22" i="20" s="1"/>
  <c r="U22" i="20"/>
  <c r="C24" i="20"/>
  <c r="D24" i="20"/>
  <c r="E24" i="20"/>
  <c r="G24" i="20"/>
  <c r="I24" i="20" s="1"/>
  <c r="J24" i="20" s="1"/>
  <c r="K24" i="20" s="1"/>
  <c r="H24" i="20"/>
  <c r="Q24" i="20"/>
  <c r="T24" i="20" s="1"/>
  <c r="V24" i="20" s="1"/>
  <c r="W24" i="20" s="1"/>
  <c r="X24" i="20" s="1"/>
  <c r="R24" i="20"/>
  <c r="U24" i="20"/>
  <c r="C25" i="20"/>
  <c r="D25" i="20"/>
  <c r="G25" i="20" s="1"/>
  <c r="I25" i="20" s="1"/>
  <c r="J25" i="20" s="1"/>
  <c r="K25" i="20" s="1"/>
  <c r="E25" i="20"/>
  <c r="H25" i="20"/>
  <c r="Q25" i="20"/>
  <c r="T25" i="20" s="1"/>
  <c r="R25" i="20"/>
  <c r="U25" i="20" s="1"/>
  <c r="C26" i="20"/>
  <c r="D26" i="20"/>
  <c r="G26" i="20" s="1"/>
  <c r="I26" i="20" s="1"/>
  <c r="J26" i="20" s="1"/>
  <c r="K26" i="20" s="1"/>
  <c r="E26" i="20"/>
  <c r="H26" i="20" s="1"/>
  <c r="Q26" i="20"/>
  <c r="R26" i="20"/>
  <c r="U26" i="20" s="1"/>
  <c r="T26" i="20"/>
  <c r="V26" i="20" s="1"/>
  <c r="W26" i="20" s="1"/>
  <c r="X26" i="20" s="1"/>
  <c r="C27" i="20"/>
  <c r="D27" i="20"/>
  <c r="E27" i="20"/>
  <c r="H27" i="20" s="1"/>
  <c r="G27" i="20"/>
  <c r="I27" i="20" s="1"/>
  <c r="J27" i="20" s="1"/>
  <c r="K27" i="20" s="1"/>
  <c r="Q27" i="20"/>
  <c r="R27" i="20"/>
  <c r="T27" i="20"/>
  <c r="V27" i="20" s="1"/>
  <c r="W27" i="20" s="1"/>
  <c r="X27" i="20" s="1"/>
  <c r="U27" i="20"/>
  <c r="C28" i="20"/>
  <c r="D28" i="20"/>
  <c r="E28" i="20"/>
  <c r="G28" i="20"/>
  <c r="I28" i="20" s="1"/>
  <c r="J28" i="20" s="1"/>
  <c r="K28" i="20" s="1"/>
  <c r="H28" i="20"/>
  <c r="Q28" i="20"/>
  <c r="T28" i="20" s="1"/>
  <c r="V28" i="20" s="1"/>
  <c r="W28" i="20" s="1"/>
  <c r="X28" i="20" s="1"/>
  <c r="R28" i="20"/>
  <c r="U28" i="20"/>
  <c r="C29" i="20"/>
  <c r="D29" i="20"/>
  <c r="G29" i="20" s="1"/>
  <c r="I29" i="20" s="1"/>
  <c r="J29" i="20" s="1"/>
  <c r="K29" i="20" s="1"/>
  <c r="E29" i="20"/>
  <c r="H29" i="20"/>
  <c r="Q29" i="20"/>
  <c r="T29" i="20" s="1"/>
  <c r="R29" i="20"/>
  <c r="U29" i="20" s="1"/>
  <c r="C31" i="20"/>
  <c r="D31" i="20"/>
  <c r="G31" i="20" s="1"/>
  <c r="E31" i="20"/>
  <c r="H31" i="20" s="1"/>
  <c r="Q31" i="20"/>
  <c r="R31" i="20"/>
  <c r="U31" i="20" s="1"/>
  <c r="T31" i="20"/>
  <c r="C32" i="20"/>
  <c r="D32" i="20"/>
  <c r="E32" i="20"/>
  <c r="H32" i="20" s="1"/>
  <c r="G32" i="20"/>
  <c r="Q32" i="20"/>
  <c r="R32" i="20"/>
  <c r="V32" i="20" s="1"/>
  <c r="W32" i="20" s="1"/>
  <c r="X32" i="20" s="1"/>
  <c r="T32" i="20"/>
  <c r="U32" i="20"/>
  <c r="C14" i="19"/>
  <c r="D14" i="19"/>
  <c r="E14" i="19"/>
  <c r="G14" i="19"/>
  <c r="I14" i="19" s="1"/>
  <c r="J14" i="19" s="1"/>
  <c r="K14" i="19" s="1"/>
  <c r="H14" i="19"/>
  <c r="Q14" i="19"/>
  <c r="T14" i="19" s="1"/>
  <c r="V14" i="19" s="1"/>
  <c r="W14" i="19" s="1"/>
  <c r="X14" i="19" s="1"/>
  <c r="R14" i="19"/>
  <c r="U14" i="19"/>
  <c r="C15" i="19"/>
  <c r="D15" i="19"/>
  <c r="G15" i="19" s="1"/>
  <c r="I15" i="19" s="1"/>
  <c r="J15" i="19" s="1"/>
  <c r="K15" i="19" s="1"/>
  <c r="E15" i="19"/>
  <c r="H15" i="19"/>
  <c r="Q15" i="19"/>
  <c r="T15" i="19" s="1"/>
  <c r="R15" i="19"/>
  <c r="U15" i="19" s="1"/>
  <c r="C16" i="19"/>
  <c r="D16" i="19"/>
  <c r="G16" i="19" s="1"/>
  <c r="I16" i="19" s="1"/>
  <c r="J16" i="19" s="1"/>
  <c r="K16" i="19" s="1"/>
  <c r="E16" i="19"/>
  <c r="H16" i="19" s="1"/>
  <c r="Q16" i="19"/>
  <c r="R16" i="19"/>
  <c r="U16" i="19" s="1"/>
  <c r="T16" i="19"/>
  <c r="V16" i="19" s="1"/>
  <c r="W16" i="19" s="1"/>
  <c r="X16" i="19" s="1"/>
  <c r="C17" i="19"/>
  <c r="D17" i="19"/>
  <c r="E17" i="19"/>
  <c r="H17" i="19" s="1"/>
  <c r="G17" i="19"/>
  <c r="I17" i="19" s="1"/>
  <c r="J17" i="19" s="1"/>
  <c r="K17" i="19" s="1"/>
  <c r="Q17" i="19"/>
  <c r="R17" i="19"/>
  <c r="T17" i="19"/>
  <c r="V17" i="19" s="1"/>
  <c r="W17" i="19" s="1"/>
  <c r="X17" i="19" s="1"/>
  <c r="U17" i="19"/>
  <c r="C18" i="19"/>
  <c r="D18" i="19"/>
  <c r="E18" i="19"/>
  <c r="G18" i="19"/>
  <c r="I18" i="19" s="1"/>
  <c r="J18" i="19" s="1"/>
  <c r="K18" i="19" s="1"/>
  <c r="H18" i="19"/>
  <c r="Q18" i="19"/>
  <c r="T18" i="19" s="1"/>
  <c r="V18" i="19" s="1"/>
  <c r="W18" i="19" s="1"/>
  <c r="X18" i="19" s="1"/>
  <c r="R18" i="19"/>
  <c r="U18" i="19"/>
  <c r="C19" i="19"/>
  <c r="D19" i="19"/>
  <c r="G19" i="19" s="1"/>
  <c r="I19" i="19" s="1"/>
  <c r="J19" i="19" s="1"/>
  <c r="K19" i="19" s="1"/>
  <c r="E19" i="19"/>
  <c r="H19" i="19"/>
  <c r="Q19" i="19"/>
  <c r="T19" i="19" s="1"/>
  <c r="R19" i="19"/>
  <c r="U19" i="19" s="1"/>
  <c r="C21" i="19"/>
  <c r="D21" i="19"/>
  <c r="G21" i="19" s="1"/>
  <c r="I21" i="19" s="1"/>
  <c r="J21" i="19" s="1"/>
  <c r="K21" i="19" s="1"/>
  <c r="E21" i="19"/>
  <c r="H21" i="19" s="1"/>
  <c r="Q21" i="19"/>
  <c r="R21" i="19"/>
  <c r="U21" i="19" s="1"/>
  <c r="T21" i="19"/>
  <c r="V21" i="19" s="1"/>
  <c r="W21" i="19" s="1"/>
  <c r="X21" i="19" s="1"/>
  <c r="C22" i="19"/>
  <c r="D22" i="19"/>
  <c r="E22" i="19"/>
  <c r="H22" i="19" s="1"/>
  <c r="G22" i="19"/>
  <c r="I22" i="19" s="1"/>
  <c r="J22" i="19" s="1"/>
  <c r="K22" i="19" s="1"/>
  <c r="Q22" i="19"/>
  <c r="R22" i="19"/>
  <c r="T22" i="19"/>
  <c r="V22" i="19" s="1"/>
  <c r="W22" i="19" s="1"/>
  <c r="X22" i="19" s="1"/>
  <c r="U22" i="19"/>
  <c r="C24" i="19"/>
  <c r="D24" i="19"/>
  <c r="E24" i="19"/>
  <c r="G24" i="19"/>
  <c r="I24" i="19" s="1"/>
  <c r="J24" i="19" s="1"/>
  <c r="K24" i="19" s="1"/>
  <c r="H24" i="19"/>
  <c r="Q24" i="19"/>
  <c r="T24" i="19" s="1"/>
  <c r="V24" i="19" s="1"/>
  <c r="W24" i="19" s="1"/>
  <c r="X24" i="19" s="1"/>
  <c r="R24" i="19"/>
  <c r="U24" i="19"/>
  <c r="C25" i="19"/>
  <c r="D25" i="19"/>
  <c r="G25" i="19" s="1"/>
  <c r="I25" i="19" s="1"/>
  <c r="J25" i="19" s="1"/>
  <c r="K25" i="19" s="1"/>
  <c r="E25" i="19"/>
  <c r="H25" i="19"/>
  <c r="Q25" i="19"/>
  <c r="T25" i="19" s="1"/>
  <c r="R25" i="19"/>
  <c r="U25" i="19" s="1"/>
  <c r="C26" i="19"/>
  <c r="D26" i="19"/>
  <c r="G26" i="19" s="1"/>
  <c r="I26" i="19" s="1"/>
  <c r="J26" i="19" s="1"/>
  <c r="K26" i="19" s="1"/>
  <c r="E26" i="19"/>
  <c r="H26" i="19" s="1"/>
  <c r="Q26" i="19"/>
  <c r="R26" i="19"/>
  <c r="U26" i="19" s="1"/>
  <c r="T26" i="19"/>
  <c r="V26" i="19" s="1"/>
  <c r="W26" i="19" s="1"/>
  <c r="X26" i="19" s="1"/>
  <c r="C27" i="19"/>
  <c r="D27" i="19"/>
  <c r="E27" i="19"/>
  <c r="H27" i="19" s="1"/>
  <c r="G27" i="19"/>
  <c r="I27" i="19" s="1"/>
  <c r="J27" i="19" s="1"/>
  <c r="K27" i="19" s="1"/>
  <c r="Q27" i="19"/>
  <c r="R27" i="19"/>
  <c r="T27" i="19"/>
  <c r="V27" i="19" s="1"/>
  <c r="W27" i="19" s="1"/>
  <c r="X27" i="19" s="1"/>
  <c r="U27" i="19"/>
  <c r="C28" i="19"/>
  <c r="D28" i="19"/>
  <c r="E28" i="19"/>
  <c r="G28" i="19"/>
  <c r="I28" i="19" s="1"/>
  <c r="J28" i="19" s="1"/>
  <c r="K28" i="19" s="1"/>
  <c r="H28" i="19"/>
  <c r="Q28" i="19"/>
  <c r="T28" i="19" s="1"/>
  <c r="V28" i="19" s="1"/>
  <c r="W28" i="19" s="1"/>
  <c r="X28" i="19" s="1"/>
  <c r="R28" i="19"/>
  <c r="U28" i="19"/>
  <c r="C29" i="19"/>
  <c r="D29" i="19"/>
  <c r="G29" i="19" s="1"/>
  <c r="I29" i="19" s="1"/>
  <c r="J29" i="19" s="1"/>
  <c r="K29" i="19" s="1"/>
  <c r="E29" i="19"/>
  <c r="H29" i="19"/>
  <c r="Q29" i="19"/>
  <c r="T29" i="19" s="1"/>
  <c r="R29" i="19"/>
  <c r="U29" i="19" s="1"/>
  <c r="C31" i="19"/>
  <c r="D31" i="19"/>
  <c r="G31" i="19" s="1"/>
  <c r="E31" i="19"/>
  <c r="H31" i="19" s="1"/>
  <c r="I31" i="19"/>
  <c r="J31" i="19" s="1"/>
  <c r="K31" i="19" s="1"/>
  <c r="Q31" i="19"/>
  <c r="R31" i="19"/>
  <c r="U31" i="19" s="1"/>
  <c r="T31" i="19"/>
  <c r="C32" i="19"/>
  <c r="D32" i="19"/>
  <c r="E32" i="19"/>
  <c r="H32" i="19" s="1"/>
  <c r="G32" i="19"/>
  <c r="Q32" i="19"/>
  <c r="R32" i="19"/>
  <c r="T32" i="19"/>
  <c r="U32" i="19"/>
  <c r="V32" i="19"/>
  <c r="W32" i="19" s="1"/>
  <c r="X32" i="19" s="1"/>
  <c r="C14" i="18"/>
  <c r="D14" i="18"/>
  <c r="E14" i="18"/>
  <c r="G14" i="18"/>
  <c r="I14" i="18" s="1"/>
  <c r="J14" i="18" s="1"/>
  <c r="K14" i="18" s="1"/>
  <c r="H14" i="18"/>
  <c r="Q14" i="18"/>
  <c r="T14" i="18" s="1"/>
  <c r="V14" i="18" s="1"/>
  <c r="W14" i="18" s="1"/>
  <c r="X14" i="18" s="1"/>
  <c r="R14" i="18"/>
  <c r="U14" i="18"/>
  <c r="C15" i="18"/>
  <c r="D15" i="18"/>
  <c r="G15" i="18" s="1"/>
  <c r="I15" i="18" s="1"/>
  <c r="J15" i="18" s="1"/>
  <c r="K15" i="18" s="1"/>
  <c r="E15" i="18"/>
  <c r="H15" i="18"/>
  <c r="Q15" i="18"/>
  <c r="T15" i="18" s="1"/>
  <c r="R15" i="18"/>
  <c r="U15" i="18" s="1"/>
  <c r="C16" i="18"/>
  <c r="D16" i="18"/>
  <c r="G16" i="18" s="1"/>
  <c r="I16" i="18" s="1"/>
  <c r="J16" i="18" s="1"/>
  <c r="K16" i="18" s="1"/>
  <c r="E16" i="18"/>
  <c r="H16" i="18" s="1"/>
  <c r="Q16" i="18"/>
  <c r="R16" i="18"/>
  <c r="U16" i="18" s="1"/>
  <c r="T16" i="18"/>
  <c r="V16" i="18" s="1"/>
  <c r="W16" i="18" s="1"/>
  <c r="X16" i="18" s="1"/>
  <c r="C17" i="18"/>
  <c r="D17" i="18"/>
  <c r="E17" i="18"/>
  <c r="H17" i="18" s="1"/>
  <c r="G17" i="18"/>
  <c r="I17" i="18" s="1"/>
  <c r="J17" i="18" s="1"/>
  <c r="K17" i="18" s="1"/>
  <c r="Q17" i="18"/>
  <c r="R17" i="18"/>
  <c r="T17" i="18"/>
  <c r="V17" i="18" s="1"/>
  <c r="W17" i="18" s="1"/>
  <c r="X17" i="18" s="1"/>
  <c r="U17" i="18"/>
  <c r="C18" i="18"/>
  <c r="D18" i="18"/>
  <c r="E18" i="18"/>
  <c r="G18" i="18"/>
  <c r="I18" i="18" s="1"/>
  <c r="J18" i="18" s="1"/>
  <c r="K18" i="18" s="1"/>
  <c r="H18" i="18"/>
  <c r="Q18" i="18"/>
  <c r="T18" i="18" s="1"/>
  <c r="V18" i="18" s="1"/>
  <c r="W18" i="18" s="1"/>
  <c r="X18" i="18" s="1"/>
  <c r="R18" i="18"/>
  <c r="U18" i="18"/>
  <c r="C19" i="18"/>
  <c r="D19" i="18"/>
  <c r="G19" i="18" s="1"/>
  <c r="I19" i="18" s="1"/>
  <c r="J19" i="18" s="1"/>
  <c r="K19" i="18" s="1"/>
  <c r="E19" i="18"/>
  <c r="H19" i="18"/>
  <c r="Q19" i="18"/>
  <c r="T19" i="18" s="1"/>
  <c r="R19" i="18"/>
  <c r="U19" i="18" s="1"/>
  <c r="C21" i="18"/>
  <c r="D21" i="18"/>
  <c r="G21" i="18" s="1"/>
  <c r="I21" i="18" s="1"/>
  <c r="J21" i="18" s="1"/>
  <c r="K21" i="18" s="1"/>
  <c r="E21" i="18"/>
  <c r="H21" i="18" s="1"/>
  <c r="Q21" i="18"/>
  <c r="R21" i="18"/>
  <c r="U21" i="18" s="1"/>
  <c r="T21" i="18"/>
  <c r="V21" i="18" s="1"/>
  <c r="W21" i="18" s="1"/>
  <c r="X21" i="18" s="1"/>
  <c r="C22" i="18"/>
  <c r="D22" i="18"/>
  <c r="E22" i="18"/>
  <c r="H22" i="18" s="1"/>
  <c r="G22" i="18"/>
  <c r="I22" i="18" s="1"/>
  <c r="J22" i="18" s="1"/>
  <c r="K22" i="18" s="1"/>
  <c r="Q22" i="18"/>
  <c r="R22" i="18"/>
  <c r="T22" i="18"/>
  <c r="V22" i="18" s="1"/>
  <c r="W22" i="18" s="1"/>
  <c r="X22" i="18" s="1"/>
  <c r="U22" i="18"/>
  <c r="C24" i="18"/>
  <c r="D24" i="18"/>
  <c r="E24" i="18"/>
  <c r="G24" i="18"/>
  <c r="I24" i="18" s="1"/>
  <c r="J24" i="18" s="1"/>
  <c r="K24" i="18" s="1"/>
  <c r="H24" i="18"/>
  <c r="Q24" i="18"/>
  <c r="T24" i="18" s="1"/>
  <c r="V24" i="18" s="1"/>
  <c r="W24" i="18" s="1"/>
  <c r="X24" i="18" s="1"/>
  <c r="R24" i="18"/>
  <c r="U24" i="18"/>
  <c r="C25" i="18"/>
  <c r="D25" i="18"/>
  <c r="G25" i="18" s="1"/>
  <c r="I25" i="18" s="1"/>
  <c r="J25" i="18" s="1"/>
  <c r="K25" i="18" s="1"/>
  <c r="E25" i="18"/>
  <c r="H25" i="18"/>
  <c r="Q25" i="18"/>
  <c r="T25" i="18" s="1"/>
  <c r="R25" i="18"/>
  <c r="U25" i="18" s="1"/>
  <c r="C26" i="18"/>
  <c r="D26" i="18"/>
  <c r="G26" i="18" s="1"/>
  <c r="I26" i="18" s="1"/>
  <c r="J26" i="18" s="1"/>
  <c r="K26" i="18" s="1"/>
  <c r="E26" i="18"/>
  <c r="H26" i="18" s="1"/>
  <c r="Q26" i="18"/>
  <c r="R26" i="18"/>
  <c r="U26" i="18" s="1"/>
  <c r="T26" i="18"/>
  <c r="V26" i="18" s="1"/>
  <c r="W26" i="18" s="1"/>
  <c r="X26" i="18" s="1"/>
  <c r="C27" i="18"/>
  <c r="D27" i="18"/>
  <c r="E27" i="18"/>
  <c r="H27" i="18" s="1"/>
  <c r="G27" i="18"/>
  <c r="I27" i="18" s="1"/>
  <c r="J27" i="18" s="1"/>
  <c r="K27" i="18" s="1"/>
  <c r="Q27" i="18"/>
  <c r="R27" i="18"/>
  <c r="T27" i="18"/>
  <c r="V27" i="18" s="1"/>
  <c r="W27" i="18" s="1"/>
  <c r="X27" i="18" s="1"/>
  <c r="U27" i="18"/>
  <c r="C28" i="18"/>
  <c r="D28" i="18"/>
  <c r="E28" i="18"/>
  <c r="G28" i="18"/>
  <c r="I28" i="18" s="1"/>
  <c r="J28" i="18" s="1"/>
  <c r="K28" i="18" s="1"/>
  <c r="H28" i="18"/>
  <c r="Q28" i="18"/>
  <c r="T28" i="18" s="1"/>
  <c r="V28" i="18" s="1"/>
  <c r="W28" i="18" s="1"/>
  <c r="X28" i="18" s="1"/>
  <c r="R28" i="18"/>
  <c r="U28" i="18"/>
  <c r="C29" i="18"/>
  <c r="D29" i="18"/>
  <c r="G29" i="18" s="1"/>
  <c r="I29" i="18" s="1"/>
  <c r="J29" i="18" s="1"/>
  <c r="K29" i="18" s="1"/>
  <c r="E29" i="18"/>
  <c r="H29" i="18"/>
  <c r="Q29" i="18"/>
  <c r="T29" i="18" s="1"/>
  <c r="R29" i="18"/>
  <c r="U29" i="18" s="1"/>
  <c r="C31" i="18"/>
  <c r="D31" i="18"/>
  <c r="G31" i="18" s="1"/>
  <c r="E31" i="18"/>
  <c r="H31" i="18" s="1"/>
  <c r="I31" i="18"/>
  <c r="J31" i="18" s="1"/>
  <c r="K31" i="18" s="1"/>
  <c r="Q31" i="18"/>
  <c r="R31" i="18"/>
  <c r="U31" i="18" s="1"/>
  <c r="T31" i="18"/>
  <c r="C32" i="18"/>
  <c r="D32" i="18"/>
  <c r="E32" i="18"/>
  <c r="H32" i="18" s="1"/>
  <c r="G32" i="18"/>
  <c r="Q32" i="18"/>
  <c r="R32" i="18"/>
  <c r="T32" i="18"/>
  <c r="U32" i="18"/>
  <c r="V32" i="18"/>
  <c r="W32" i="18" s="1"/>
  <c r="X32" i="18" s="1"/>
  <c r="C14" i="17"/>
  <c r="D14" i="17"/>
  <c r="E14" i="17"/>
  <c r="G14" i="17"/>
  <c r="I14" i="17" s="1"/>
  <c r="J14" i="17" s="1"/>
  <c r="K14" i="17" s="1"/>
  <c r="H14" i="17"/>
  <c r="Q14" i="17"/>
  <c r="T14" i="17" s="1"/>
  <c r="V14" i="17" s="1"/>
  <c r="W14" i="17" s="1"/>
  <c r="X14" i="17" s="1"/>
  <c r="R14" i="17"/>
  <c r="U14" i="17"/>
  <c r="C15" i="17"/>
  <c r="D15" i="17"/>
  <c r="G15" i="17" s="1"/>
  <c r="I15" i="17" s="1"/>
  <c r="J15" i="17" s="1"/>
  <c r="K15" i="17" s="1"/>
  <c r="E15" i="17"/>
  <c r="H15" i="17"/>
  <c r="Q15" i="17"/>
  <c r="T15" i="17" s="1"/>
  <c r="R15" i="17"/>
  <c r="U15" i="17" s="1"/>
  <c r="C16" i="17"/>
  <c r="D16" i="17"/>
  <c r="G16" i="17" s="1"/>
  <c r="I16" i="17" s="1"/>
  <c r="J16" i="17" s="1"/>
  <c r="K16" i="17" s="1"/>
  <c r="E16" i="17"/>
  <c r="H16" i="17" s="1"/>
  <c r="Q16" i="17"/>
  <c r="R16" i="17"/>
  <c r="U16" i="17" s="1"/>
  <c r="T16" i="17"/>
  <c r="V16" i="17" s="1"/>
  <c r="W16" i="17" s="1"/>
  <c r="X16" i="17" s="1"/>
  <c r="C17" i="17"/>
  <c r="D17" i="17"/>
  <c r="E17" i="17"/>
  <c r="H17" i="17" s="1"/>
  <c r="G17" i="17"/>
  <c r="I17" i="17" s="1"/>
  <c r="J17" i="17" s="1"/>
  <c r="K17" i="17" s="1"/>
  <c r="Q17" i="17"/>
  <c r="R17" i="17"/>
  <c r="T17" i="17"/>
  <c r="V17" i="17" s="1"/>
  <c r="W17" i="17" s="1"/>
  <c r="X17" i="17" s="1"/>
  <c r="U17" i="17"/>
  <c r="C18" i="17"/>
  <c r="D18" i="17"/>
  <c r="E18" i="17"/>
  <c r="G18" i="17"/>
  <c r="I18" i="17" s="1"/>
  <c r="J18" i="17" s="1"/>
  <c r="K18" i="17" s="1"/>
  <c r="H18" i="17"/>
  <c r="Q18" i="17"/>
  <c r="T18" i="17" s="1"/>
  <c r="V18" i="17" s="1"/>
  <c r="W18" i="17" s="1"/>
  <c r="X18" i="17" s="1"/>
  <c r="R18" i="17"/>
  <c r="U18" i="17"/>
  <c r="C19" i="17"/>
  <c r="D19" i="17"/>
  <c r="G19" i="17" s="1"/>
  <c r="I19" i="17" s="1"/>
  <c r="J19" i="17" s="1"/>
  <c r="K19" i="17" s="1"/>
  <c r="E19" i="17"/>
  <c r="H19" i="17"/>
  <c r="Q19" i="17"/>
  <c r="T19" i="17" s="1"/>
  <c r="R19" i="17"/>
  <c r="U19" i="17" s="1"/>
  <c r="C21" i="17"/>
  <c r="D21" i="17"/>
  <c r="G21" i="17" s="1"/>
  <c r="I21" i="17" s="1"/>
  <c r="J21" i="17" s="1"/>
  <c r="K21" i="17" s="1"/>
  <c r="E21" i="17"/>
  <c r="H21" i="17" s="1"/>
  <c r="Q21" i="17"/>
  <c r="R21" i="17"/>
  <c r="U21" i="17" s="1"/>
  <c r="T21" i="17"/>
  <c r="V21" i="17" s="1"/>
  <c r="W21" i="17" s="1"/>
  <c r="X21" i="17" s="1"/>
  <c r="C22" i="17"/>
  <c r="D22" i="17"/>
  <c r="E22" i="17"/>
  <c r="H22" i="17" s="1"/>
  <c r="G22" i="17"/>
  <c r="I22" i="17" s="1"/>
  <c r="J22" i="17" s="1"/>
  <c r="K22" i="17" s="1"/>
  <c r="Q22" i="17"/>
  <c r="R22" i="17"/>
  <c r="T22" i="17"/>
  <c r="V22" i="17" s="1"/>
  <c r="W22" i="17" s="1"/>
  <c r="X22" i="17" s="1"/>
  <c r="U22" i="17"/>
  <c r="C24" i="17"/>
  <c r="D24" i="17"/>
  <c r="E24" i="17"/>
  <c r="G24" i="17"/>
  <c r="I24" i="17" s="1"/>
  <c r="J24" i="17" s="1"/>
  <c r="K24" i="17" s="1"/>
  <c r="H24" i="17"/>
  <c r="Q24" i="17"/>
  <c r="T24" i="17" s="1"/>
  <c r="V24" i="17" s="1"/>
  <c r="W24" i="17" s="1"/>
  <c r="X24" i="17" s="1"/>
  <c r="R24" i="17"/>
  <c r="U24" i="17"/>
  <c r="C25" i="17"/>
  <c r="D25" i="17"/>
  <c r="G25" i="17" s="1"/>
  <c r="I25" i="17" s="1"/>
  <c r="J25" i="17" s="1"/>
  <c r="K25" i="17" s="1"/>
  <c r="E25" i="17"/>
  <c r="H25" i="17"/>
  <c r="Q25" i="17"/>
  <c r="T25" i="17" s="1"/>
  <c r="R25" i="17"/>
  <c r="U25" i="17" s="1"/>
  <c r="C26" i="17"/>
  <c r="D26" i="17"/>
  <c r="G26" i="17" s="1"/>
  <c r="I26" i="17" s="1"/>
  <c r="J26" i="17" s="1"/>
  <c r="K26" i="17" s="1"/>
  <c r="E26" i="17"/>
  <c r="H26" i="17" s="1"/>
  <c r="Q26" i="17"/>
  <c r="R26" i="17"/>
  <c r="U26" i="17" s="1"/>
  <c r="T26" i="17"/>
  <c r="V26" i="17" s="1"/>
  <c r="W26" i="17" s="1"/>
  <c r="X26" i="17" s="1"/>
  <c r="C27" i="17"/>
  <c r="D27" i="17"/>
  <c r="E27" i="17"/>
  <c r="H27" i="17" s="1"/>
  <c r="G27" i="17"/>
  <c r="I27" i="17" s="1"/>
  <c r="J27" i="17" s="1"/>
  <c r="K27" i="17" s="1"/>
  <c r="Q27" i="17"/>
  <c r="R27" i="17"/>
  <c r="T27" i="17"/>
  <c r="V27" i="17" s="1"/>
  <c r="W27" i="17" s="1"/>
  <c r="X27" i="17" s="1"/>
  <c r="U27" i="17"/>
  <c r="C28" i="17"/>
  <c r="D28" i="17"/>
  <c r="E28" i="17"/>
  <c r="G28" i="17"/>
  <c r="I28" i="17" s="1"/>
  <c r="J28" i="17" s="1"/>
  <c r="K28" i="17" s="1"/>
  <c r="H28" i="17"/>
  <c r="Q28" i="17"/>
  <c r="T28" i="17" s="1"/>
  <c r="V28" i="17" s="1"/>
  <c r="W28" i="17" s="1"/>
  <c r="X28" i="17" s="1"/>
  <c r="R28" i="17"/>
  <c r="U28" i="17"/>
  <c r="C29" i="17"/>
  <c r="D29" i="17"/>
  <c r="G29" i="17" s="1"/>
  <c r="I29" i="17" s="1"/>
  <c r="J29" i="17" s="1"/>
  <c r="K29" i="17" s="1"/>
  <c r="E29" i="17"/>
  <c r="H29" i="17"/>
  <c r="Q29" i="17"/>
  <c r="T29" i="17" s="1"/>
  <c r="R29" i="17"/>
  <c r="U29" i="17" s="1"/>
  <c r="C31" i="17"/>
  <c r="D31" i="17"/>
  <c r="G31" i="17" s="1"/>
  <c r="E31" i="17"/>
  <c r="H31" i="17" s="1"/>
  <c r="Q31" i="17"/>
  <c r="R31" i="17"/>
  <c r="U31" i="17" s="1"/>
  <c r="T31" i="17"/>
  <c r="C32" i="17"/>
  <c r="D32" i="17"/>
  <c r="E32" i="17"/>
  <c r="H32" i="17" s="1"/>
  <c r="G32" i="17"/>
  <c r="Q32" i="17"/>
  <c r="R32" i="17"/>
  <c r="V32" i="17" s="1"/>
  <c r="W32" i="17" s="1"/>
  <c r="X32" i="17" s="1"/>
  <c r="T32" i="17"/>
  <c r="U32" i="17"/>
  <c r="C14" i="16"/>
  <c r="D14" i="16"/>
  <c r="E14" i="16"/>
  <c r="G14" i="16"/>
  <c r="I14" i="16" s="1"/>
  <c r="J14" i="16" s="1"/>
  <c r="K14" i="16" s="1"/>
  <c r="H14" i="16"/>
  <c r="Q14" i="16"/>
  <c r="T14" i="16" s="1"/>
  <c r="V14" i="16" s="1"/>
  <c r="W14" i="16" s="1"/>
  <c r="X14" i="16" s="1"/>
  <c r="R14" i="16"/>
  <c r="U14" i="16"/>
  <c r="C15" i="16"/>
  <c r="D15" i="16"/>
  <c r="G15" i="16" s="1"/>
  <c r="I15" i="16" s="1"/>
  <c r="J15" i="16" s="1"/>
  <c r="K15" i="16" s="1"/>
  <c r="E15" i="16"/>
  <c r="H15" i="16"/>
  <c r="Q15" i="16"/>
  <c r="T15" i="16" s="1"/>
  <c r="R15" i="16"/>
  <c r="U15" i="16" s="1"/>
  <c r="C16" i="16"/>
  <c r="D16" i="16"/>
  <c r="G16" i="16" s="1"/>
  <c r="I16" i="16" s="1"/>
  <c r="J16" i="16" s="1"/>
  <c r="K16" i="16" s="1"/>
  <c r="E16" i="16"/>
  <c r="H16" i="16" s="1"/>
  <c r="Q16" i="16"/>
  <c r="R16" i="16"/>
  <c r="U16" i="16" s="1"/>
  <c r="T16" i="16"/>
  <c r="V16" i="16" s="1"/>
  <c r="W16" i="16" s="1"/>
  <c r="X16" i="16" s="1"/>
  <c r="C17" i="16"/>
  <c r="D17" i="16"/>
  <c r="E17" i="16"/>
  <c r="H17" i="16" s="1"/>
  <c r="G17" i="16"/>
  <c r="I17" i="16" s="1"/>
  <c r="J17" i="16" s="1"/>
  <c r="K17" i="16" s="1"/>
  <c r="Q17" i="16"/>
  <c r="R17" i="16"/>
  <c r="T17" i="16"/>
  <c r="V17" i="16" s="1"/>
  <c r="W17" i="16" s="1"/>
  <c r="X17" i="16" s="1"/>
  <c r="U17" i="16"/>
  <c r="C18" i="16"/>
  <c r="D18" i="16"/>
  <c r="E18" i="16"/>
  <c r="G18" i="16"/>
  <c r="I18" i="16" s="1"/>
  <c r="J18" i="16" s="1"/>
  <c r="K18" i="16" s="1"/>
  <c r="H18" i="16"/>
  <c r="Q18" i="16"/>
  <c r="T18" i="16" s="1"/>
  <c r="V18" i="16" s="1"/>
  <c r="W18" i="16" s="1"/>
  <c r="X18" i="16" s="1"/>
  <c r="R18" i="16"/>
  <c r="U18" i="16"/>
  <c r="C19" i="16"/>
  <c r="D19" i="16"/>
  <c r="G19" i="16" s="1"/>
  <c r="I19" i="16" s="1"/>
  <c r="J19" i="16" s="1"/>
  <c r="K19" i="16" s="1"/>
  <c r="E19" i="16"/>
  <c r="H19" i="16"/>
  <c r="Q19" i="16"/>
  <c r="T19" i="16" s="1"/>
  <c r="R19" i="16"/>
  <c r="U19" i="16" s="1"/>
  <c r="C21" i="16"/>
  <c r="D21" i="16"/>
  <c r="G21" i="16" s="1"/>
  <c r="I21" i="16" s="1"/>
  <c r="J21" i="16" s="1"/>
  <c r="K21" i="16" s="1"/>
  <c r="E21" i="16"/>
  <c r="H21" i="16" s="1"/>
  <c r="Q21" i="16"/>
  <c r="R21" i="16"/>
  <c r="U21" i="16" s="1"/>
  <c r="T21" i="16"/>
  <c r="V21" i="16" s="1"/>
  <c r="W21" i="16" s="1"/>
  <c r="X21" i="16" s="1"/>
  <c r="C22" i="16"/>
  <c r="D22" i="16"/>
  <c r="E22" i="16"/>
  <c r="H22" i="16" s="1"/>
  <c r="G22" i="16"/>
  <c r="I22" i="16" s="1"/>
  <c r="J22" i="16" s="1"/>
  <c r="K22" i="16" s="1"/>
  <c r="Q22" i="16"/>
  <c r="R22" i="16"/>
  <c r="T22" i="16"/>
  <c r="V22" i="16" s="1"/>
  <c r="W22" i="16" s="1"/>
  <c r="X22" i="16" s="1"/>
  <c r="U22" i="16"/>
  <c r="C24" i="16"/>
  <c r="D24" i="16"/>
  <c r="E24" i="16"/>
  <c r="G24" i="16"/>
  <c r="I24" i="16" s="1"/>
  <c r="J24" i="16" s="1"/>
  <c r="K24" i="16" s="1"/>
  <c r="H24" i="16"/>
  <c r="Q24" i="16"/>
  <c r="T24" i="16" s="1"/>
  <c r="V24" i="16" s="1"/>
  <c r="W24" i="16" s="1"/>
  <c r="X24" i="16" s="1"/>
  <c r="R24" i="16"/>
  <c r="U24" i="16"/>
  <c r="C25" i="16"/>
  <c r="D25" i="16"/>
  <c r="G25" i="16" s="1"/>
  <c r="I25" i="16" s="1"/>
  <c r="J25" i="16" s="1"/>
  <c r="K25" i="16" s="1"/>
  <c r="E25" i="16"/>
  <c r="H25" i="16"/>
  <c r="Q25" i="16"/>
  <c r="T25" i="16" s="1"/>
  <c r="R25" i="16"/>
  <c r="U25" i="16" s="1"/>
  <c r="C26" i="16"/>
  <c r="D26" i="16"/>
  <c r="G26" i="16" s="1"/>
  <c r="I26" i="16" s="1"/>
  <c r="J26" i="16" s="1"/>
  <c r="K26" i="16" s="1"/>
  <c r="E26" i="16"/>
  <c r="H26" i="16" s="1"/>
  <c r="Q26" i="16"/>
  <c r="R26" i="16"/>
  <c r="U26" i="16" s="1"/>
  <c r="T26" i="16"/>
  <c r="V26" i="16" s="1"/>
  <c r="W26" i="16" s="1"/>
  <c r="X26" i="16" s="1"/>
  <c r="C27" i="16"/>
  <c r="D27" i="16"/>
  <c r="E27" i="16"/>
  <c r="H27" i="16" s="1"/>
  <c r="G27" i="16"/>
  <c r="I27" i="16" s="1"/>
  <c r="J27" i="16" s="1"/>
  <c r="K27" i="16" s="1"/>
  <c r="Q27" i="16"/>
  <c r="R27" i="16"/>
  <c r="T27" i="16"/>
  <c r="V27" i="16" s="1"/>
  <c r="W27" i="16" s="1"/>
  <c r="X27" i="16" s="1"/>
  <c r="U27" i="16"/>
  <c r="C28" i="16"/>
  <c r="D28" i="16"/>
  <c r="E28" i="16"/>
  <c r="G28" i="16"/>
  <c r="I28" i="16" s="1"/>
  <c r="J28" i="16" s="1"/>
  <c r="K28" i="16" s="1"/>
  <c r="H28" i="16"/>
  <c r="Q28" i="16"/>
  <c r="T28" i="16" s="1"/>
  <c r="V28" i="16" s="1"/>
  <c r="W28" i="16" s="1"/>
  <c r="X28" i="16" s="1"/>
  <c r="R28" i="16"/>
  <c r="U28" i="16"/>
  <c r="C29" i="16"/>
  <c r="D29" i="16"/>
  <c r="G29" i="16" s="1"/>
  <c r="I29" i="16" s="1"/>
  <c r="J29" i="16" s="1"/>
  <c r="K29" i="16" s="1"/>
  <c r="E29" i="16"/>
  <c r="H29" i="16"/>
  <c r="Q29" i="16"/>
  <c r="T29" i="16" s="1"/>
  <c r="R29" i="16"/>
  <c r="U29" i="16" s="1"/>
  <c r="C31" i="16"/>
  <c r="D31" i="16"/>
  <c r="G31" i="16" s="1"/>
  <c r="E31" i="16"/>
  <c r="H31" i="16" s="1"/>
  <c r="Q31" i="16"/>
  <c r="R31" i="16"/>
  <c r="U31" i="16" s="1"/>
  <c r="T31" i="16"/>
  <c r="C32" i="16"/>
  <c r="D32" i="16"/>
  <c r="E32" i="16"/>
  <c r="H32" i="16" s="1"/>
  <c r="G32" i="16"/>
  <c r="Q32" i="16"/>
  <c r="R32" i="16"/>
  <c r="V32" i="16" s="1"/>
  <c r="W32" i="16" s="1"/>
  <c r="X32" i="16" s="1"/>
  <c r="T32" i="16"/>
  <c r="U32" i="16"/>
  <c r="C14" i="15"/>
  <c r="D14" i="15"/>
  <c r="E14" i="15"/>
  <c r="H14" i="15" s="1"/>
  <c r="G14" i="15"/>
  <c r="I14" i="15" s="1"/>
  <c r="J14" i="15" s="1"/>
  <c r="K14" i="15" s="1"/>
  <c r="Q14" i="15"/>
  <c r="R14" i="15"/>
  <c r="T14" i="15"/>
  <c r="V14" i="15" s="1"/>
  <c r="W14" i="15" s="1"/>
  <c r="X14" i="15" s="1"/>
  <c r="U14" i="15"/>
  <c r="C15" i="15"/>
  <c r="D15" i="15"/>
  <c r="E15" i="15"/>
  <c r="G15" i="15"/>
  <c r="I15" i="15" s="1"/>
  <c r="J15" i="15" s="1"/>
  <c r="K15" i="15" s="1"/>
  <c r="H15" i="15"/>
  <c r="Q15" i="15"/>
  <c r="T15" i="15" s="1"/>
  <c r="V15" i="15" s="1"/>
  <c r="W15" i="15" s="1"/>
  <c r="X15" i="15" s="1"/>
  <c r="R15" i="15"/>
  <c r="U15" i="15"/>
  <c r="C16" i="15"/>
  <c r="D16" i="15"/>
  <c r="G16" i="15" s="1"/>
  <c r="I16" i="15" s="1"/>
  <c r="J16" i="15" s="1"/>
  <c r="K16" i="15" s="1"/>
  <c r="E16" i="15"/>
  <c r="H16" i="15"/>
  <c r="Q16" i="15"/>
  <c r="T16" i="15" s="1"/>
  <c r="R16" i="15"/>
  <c r="U16" i="15" s="1"/>
  <c r="C17" i="15"/>
  <c r="D17" i="15"/>
  <c r="G17" i="15" s="1"/>
  <c r="I17" i="15" s="1"/>
  <c r="J17" i="15" s="1"/>
  <c r="K17" i="15" s="1"/>
  <c r="E17" i="15"/>
  <c r="H17" i="15" s="1"/>
  <c r="Q17" i="15"/>
  <c r="R17" i="15"/>
  <c r="U17" i="15" s="1"/>
  <c r="T17" i="15"/>
  <c r="V17" i="15" s="1"/>
  <c r="W17" i="15" s="1"/>
  <c r="X17" i="15" s="1"/>
  <c r="C18" i="15"/>
  <c r="D18" i="15"/>
  <c r="E18" i="15"/>
  <c r="H18" i="15" s="1"/>
  <c r="G18" i="15"/>
  <c r="I18" i="15" s="1"/>
  <c r="J18" i="15" s="1"/>
  <c r="K18" i="15" s="1"/>
  <c r="Q18" i="15"/>
  <c r="R18" i="15"/>
  <c r="T18" i="15"/>
  <c r="V18" i="15" s="1"/>
  <c r="W18" i="15" s="1"/>
  <c r="X18" i="15" s="1"/>
  <c r="U18" i="15"/>
  <c r="C19" i="15"/>
  <c r="D19" i="15"/>
  <c r="E19" i="15"/>
  <c r="G19" i="15"/>
  <c r="I19" i="15" s="1"/>
  <c r="J19" i="15" s="1"/>
  <c r="K19" i="15" s="1"/>
  <c r="H19" i="15"/>
  <c r="Q19" i="15"/>
  <c r="T19" i="15" s="1"/>
  <c r="V19" i="15" s="1"/>
  <c r="W19" i="15" s="1"/>
  <c r="X19" i="15" s="1"/>
  <c r="R19" i="15"/>
  <c r="U19" i="15"/>
  <c r="C21" i="15"/>
  <c r="D21" i="15"/>
  <c r="G21" i="15" s="1"/>
  <c r="I21" i="15" s="1"/>
  <c r="J21" i="15" s="1"/>
  <c r="K21" i="15" s="1"/>
  <c r="E21" i="15"/>
  <c r="H21" i="15"/>
  <c r="Q21" i="15"/>
  <c r="T21" i="15" s="1"/>
  <c r="R21" i="15"/>
  <c r="U21" i="15" s="1"/>
  <c r="C22" i="15"/>
  <c r="D22" i="15"/>
  <c r="G22" i="15" s="1"/>
  <c r="I22" i="15" s="1"/>
  <c r="J22" i="15" s="1"/>
  <c r="K22" i="15" s="1"/>
  <c r="E22" i="15"/>
  <c r="H22" i="15" s="1"/>
  <c r="Q22" i="15"/>
  <c r="R22" i="15"/>
  <c r="U22" i="15" s="1"/>
  <c r="T22" i="15"/>
  <c r="V22" i="15" s="1"/>
  <c r="W22" i="15" s="1"/>
  <c r="X22" i="15" s="1"/>
  <c r="C24" i="15"/>
  <c r="D24" i="15"/>
  <c r="E24" i="15"/>
  <c r="H24" i="15" s="1"/>
  <c r="G24" i="15"/>
  <c r="I24" i="15" s="1"/>
  <c r="J24" i="15" s="1"/>
  <c r="K24" i="15" s="1"/>
  <c r="Q24" i="15"/>
  <c r="R24" i="15"/>
  <c r="T24" i="15"/>
  <c r="V24" i="15" s="1"/>
  <c r="W24" i="15" s="1"/>
  <c r="X24" i="15" s="1"/>
  <c r="U24" i="15"/>
  <c r="C25" i="15"/>
  <c r="D25" i="15"/>
  <c r="E25" i="15"/>
  <c r="G25" i="15"/>
  <c r="I25" i="15" s="1"/>
  <c r="J25" i="15" s="1"/>
  <c r="K25" i="15" s="1"/>
  <c r="H25" i="15"/>
  <c r="Q25" i="15"/>
  <c r="T25" i="15" s="1"/>
  <c r="V25" i="15" s="1"/>
  <c r="W25" i="15" s="1"/>
  <c r="X25" i="15" s="1"/>
  <c r="R25" i="15"/>
  <c r="U25" i="15"/>
  <c r="C26" i="15"/>
  <c r="D26" i="15"/>
  <c r="G26" i="15" s="1"/>
  <c r="I26" i="15" s="1"/>
  <c r="J26" i="15" s="1"/>
  <c r="K26" i="15" s="1"/>
  <c r="E26" i="15"/>
  <c r="H26" i="15"/>
  <c r="Q26" i="15"/>
  <c r="T26" i="15" s="1"/>
  <c r="R26" i="15"/>
  <c r="U26" i="15" s="1"/>
  <c r="C27" i="15"/>
  <c r="D27" i="15"/>
  <c r="G27" i="15" s="1"/>
  <c r="I27" i="15" s="1"/>
  <c r="J27" i="15" s="1"/>
  <c r="K27" i="15" s="1"/>
  <c r="E27" i="15"/>
  <c r="H27" i="15" s="1"/>
  <c r="Q27" i="15"/>
  <c r="R27" i="15"/>
  <c r="U27" i="15" s="1"/>
  <c r="T27" i="15"/>
  <c r="V27" i="15" s="1"/>
  <c r="W27" i="15" s="1"/>
  <c r="X27" i="15" s="1"/>
  <c r="C28" i="15"/>
  <c r="D28" i="15"/>
  <c r="E28" i="15"/>
  <c r="H28" i="15" s="1"/>
  <c r="G28" i="15"/>
  <c r="I28" i="15" s="1"/>
  <c r="J28" i="15" s="1"/>
  <c r="K28" i="15" s="1"/>
  <c r="Q28" i="15"/>
  <c r="R28" i="15"/>
  <c r="T28" i="15"/>
  <c r="V28" i="15" s="1"/>
  <c r="W28" i="15" s="1"/>
  <c r="X28" i="15" s="1"/>
  <c r="U28" i="15"/>
  <c r="C29" i="15"/>
  <c r="D29" i="15"/>
  <c r="E29" i="15"/>
  <c r="G29" i="15"/>
  <c r="I29" i="15" s="1"/>
  <c r="J29" i="15" s="1"/>
  <c r="K29" i="15" s="1"/>
  <c r="H29" i="15"/>
  <c r="Q29" i="15"/>
  <c r="T29" i="15" s="1"/>
  <c r="V29" i="15" s="1"/>
  <c r="W29" i="15" s="1"/>
  <c r="X29" i="15" s="1"/>
  <c r="R29" i="15"/>
  <c r="U29" i="15"/>
  <c r="C31" i="15"/>
  <c r="D31" i="15"/>
  <c r="G31" i="15" s="1"/>
  <c r="E31" i="15"/>
  <c r="H31" i="15"/>
  <c r="I31" i="15"/>
  <c r="J31" i="15" s="1"/>
  <c r="K31" i="15" s="1"/>
  <c r="Q31" i="15"/>
  <c r="T31" i="15" s="1"/>
  <c r="R31" i="15"/>
  <c r="U31" i="15" s="1"/>
  <c r="C32" i="15"/>
  <c r="D32" i="15"/>
  <c r="G32" i="15" s="1"/>
  <c r="E32" i="15"/>
  <c r="H32" i="15" s="1"/>
  <c r="Q32" i="15"/>
  <c r="R32" i="15"/>
  <c r="U32" i="15" s="1"/>
  <c r="T32" i="15"/>
  <c r="C14" i="14"/>
  <c r="D14" i="14"/>
  <c r="E14" i="14"/>
  <c r="H14" i="14" s="1"/>
  <c r="G14" i="14"/>
  <c r="I14" i="14" s="1"/>
  <c r="J14" i="14" s="1"/>
  <c r="K14" i="14" s="1"/>
  <c r="Q14" i="14"/>
  <c r="R14" i="14"/>
  <c r="T14" i="14"/>
  <c r="V14" i="14" s="1"/>
  <c r="W14" i="14" s="1"/>
  <c r="X14" i="14" s="1"/>
  <c r="U14" i="14"/>
  <c r="C15" i="14"/>
  <c r="D15" i="14"/>
  <c r="E15" i="14"/>
  <c r="G15" i="14"/>
  <c r="I15" i="14" s="1"/>
  <c r="J15" i="14" s="1"/>
  <c r="K15" i="14" s="1"/>
  <c r="H15" i="14"/>
  <c r="Q15" i="14"/>
  <c r="T15" i="14" s="1"/>
  <c r="V15" i="14" s="1"/>
  <c r="W15" i="14" s="1"/>
  <c r="X15" i="14" s="1"/>
  <c r="R15" i="14"/>
  <c r="U15" i="14"/>
  <c r="C16" i="14"/>
  <c r="D16" i="14"/>
  <c r="G16" i="14" s="1"/>
  <c r="I16" i="14" s="1"/>
  <c r="J16" i="14" s="1"/>
  <c r="K16" i="14" s="1"/>
  <c r="E16" i="14"/>
  <c r="H16" i="14"/>
  <c r="Q16" i="14"/>
  <c r="T16" i="14" s="1"/>
  <c r="V16" i="14" s="1"/>
  <c r="W16" i="14" s="1"/>
  <c r="X16" i="14" s="1"/>
  <c r="R16" i="14"/>
  <c r="U16" i="14" s="1"/>
  <c r="C17" i="14"/>
  <c r="D17" i="14"/>
  <c r="G17" i="14" s="1"/>
  <c r="I17" i="14" s="1"/>
  <c r="J17" i="14" s="1"/>
  <c r="K17" i="14" s="1"/>
  <c r="E17" i="14"/>
  <c r="H17" i="14" s="1"/>
  <c r="Q17" i="14"/>
  <c r="R17" i="14"/>
  <c r="U17" i="14" s="1"/>
  <c r="T17" i="14"/>
  <c r="C18" i="14"/>
  <c r="D18" i="14"/>
  <c r="E18" i="14"/>
  <c r="H18" i="14" s="1"/>
  <c r="G18" i="14"/>
  <c r="I18" i="14" s="1"/>
  <c r="J18" i="14"/>
  <c r="K18" i="14" s="1"/>
  <c r="Q18" i="14"/>
  <c r="R18" i="14"/>
  <c r="T18" i="14"/>
  <c r="V18" i="14" s="1"/>
  <c r="W18" i="14" s="1"/>
  <c r="X18" i="14" s="1"/>
  <c r="U18" i="14"/>
  <c r="C19" i="14"/>
  <c r="D19" i="14"/>
  <c r="E19" i="14"/>
  <c r="G19" i="14"/>
  <c r="H19" i="14"/>
  <c r="Q19" i="14"/>
  <c r="T19" i="14" s="1"/>
  <c r="R19" i="14"/>
  <c r="U19" i="14"/>
  <c r="V19" i="14"/>
  <c r="W19" i="14" s="1"/>
  <c r="X19" i="14" s="1"/>
  <c r="C21" i="14"/>
  <c r="D21" i="14"/>
  <c r="G21" i="14" s="1"/>
  <c r="E21" i="14"/>
  <c r="H21" i="14"/>
  <c r="I21" i="14" s="1"/>
  <c r="J21" i="14" s="1"/>
  <c r="K21" i="14" s="1"/>
  <c r="Q21" i="14"/>
  <c r="T21" i="14" s="1"/>
  <c r="R21" i="14"/>
  <c r="U21" i="14" s="1"/>
  <c r="V21" i="14"/>
  <c r="W21" i="14" s="1"/>
  <c r="X21" i="14" s="1"/>
  <c r="C22" i="14"/>
  <c r="D22" i="14"/>
  <c r="G22" i="14" s="1"/>
  <c r="E22" i="14"/>
  <c r="H22" i="14" s="1"/>
  <c r="I22" i="14" s="1"/>
  <c r="J22" i="14" s="1"/>
  <c r="K22" i="14" s="1"/>
  <c r="Q22" i="14"/>
  <c r="R22" i="14"/>
  <c r="U22" i="14" s="1"/>
  <c r="T22" i="14"/>
  <c r="C24" i="14"/>
  <c r="D24" i="14"/>
  <c r="E24" i="14"/>
  <c r="H24" i="14" s="1"/>
  <c r="G24" i="14"/>
  <c r="I24" i="14" s="1"/>
  <c r="J24" i="14"/>
  <c r="K24" i="14" s="1"/>
  <c r="Q24" i="14"/>
  <c r="R24" i="14"/>
  <c r="T24" i="14"/>
  <c r="V24" i="14" s="1"/>
  <c r="W24" i="14" s="1"/>
  <c r="X24" i="14" s="1"/>
  <c r="U24" i="14"/>
  <c r="C25" i="14"/>
  <c r="D25" i="14"/>
  <c r="E25" i="14"/>
  <c r="G25" i="14"/>
  <c r="H25" i="14"/>
  <c r="Q25" i="14"/>
  <c r="T25" i="14" s="1"/>
  <c r="R25" i="14"/>
  <c r="U25" i="14"/>
  <c r="V25" i="14"/>
  <c r="W25" i="14" s="1"/>
  <c r="X25" i="14" s="1"/>
  <c r="C26" i="14"/>
  <c r="D26" i="14"/>
  <c r="G26" i="14" s="1"/>
  <c r="E26" i="14"/>
  <c r="H26" i="14"/>
  <c r="I26" i="14" s="1"/>
  <c r="J26" i="14" s="1"/>
  <c r="K26" i="14" s="1"/>
  <c r="Q26" i="14"/>
  <c r="T26" i="14" s="1"/>
  <c r="R26" i="14"/>
  <c r="U26" i="14" s="1"/>
  <c r="V26" i="14"/>
  <c r="W26" i="14" s="1"/>
  <c r="X26" i="14" s="1"/>
  <c r="C27" i="14"/>
  <c r="D27" i="14"/>
  <c r="G27" i="14" s="1"/>
  <c r="E27" i="14"/>
  <c r="H27" i="14" s="1"/>
  <c r="I27" i="14" s="1"/>
  <c r="J27" i="14" s="1"/>
  <c r="K27" i="14" s="1"/>
  <c r="Q27" i="14"/>
  <c r="R27" i="14"/>
  <c r="U27" i="14" s="1"/>
  <c r="T27" i="14"/>
  <c r="C28" i="14"/>
  <c r="D28" i="14"/>
  <c r="E28" i="14"/>
  <c r="H28" i="14" s="1"/>
  <c r="G28" i="14"/>
  <c r="I28" i="14" s="1"/>
  <c r="J28" i="14"/>
  <c r="K28" i="14" s="1"/>
  <c r="Q28" i="14"/>
  <c r="R28" i="14"/>
  <c r="T28" i="14"/>
  <c r="V28" i="14" s="1"/>
  <c r="W28" i="14" s="1"/>
  <c r="X28" i="14" s="1"/>
  <c r="U28" i="14"/>
  <c r="C29" i="14"/>
  <c r="D29" i="14"/>
  <c r="E29" i="14"/>
  <c r="G29" i="14"/>
  <c r="H29" i="14"/>
  <c r="Q29" i="14"/>
  <c r="T29" i="14" s="1"/>
  <c r="R29" i="14"/>
  <c r="U29" i="14"/>
  <c r="V29" i="14"/>
  <c r="W29" i="14" s="1"/>
  <c r="X29" i="14" s="1"/>
  <c r="C31" i="14"/>
  <c r="D31" i="14"/>
  <c r="G31" i="14" s="1"/>
  <c r="E31" i="14"/>
  <c r="H31" i="14"/>
  <c r="I31" i="14"/>
  <c r="J31" i="14" s="1"/>
  <c r="K31" i="14" s="1"/>
  <c r="Q31" i="14"/>
  <c r="T31" i="14" s="1"/>
  <c r="R31" i="14"/>
  <c r="U31" i="14" s="1"/>
  <c r="V31" i="14"/>
  <c r="W31" i="14" s="1"/>
  <c r="X31" i="14" s="1"/>
  <c r="C32" i="14"/>
  <c r="D32" i="14"/>
  <c r="G32" i="14" s="1"/>
  <c r="E32" i="14"/>
  <c r="H32" i="14" s="1"/>
  <c r="Q32" i="14"/>
  <c r="R32" i="14"/>
  <c r="T32" i="14"/>
  <c r="C14" i="13"/>
  <c r="D14" i="13"/>
  <c r="E14" i="13"/>
  <c r="G14" i="13"/>
  <c r="I14" i="13" s="1"/>
  <c r="J14" i="13" s="1"/>
  <c r="K14" i="13" s="1"/>
  <c r="H14" i="13"/>
  <c r="Q14" i="13"/>
  <c r="T14" i="13" s="1"/>
  <c r="V14" i="13" s="1"/>
  <c r="W14" i="13" s="1"/>
  <c r="X14" i="13" s="1"/>
  <c r="R14" i="13"/>
  <c r="U14" i="13"/>
  <c r="C15" i="13"/>
  <c r="D15" i="13"/>
  <c r="G15" i="13" s="1"/>
  <c r="I15" i="13" s="1"/>
  <c r="J15" i="13" s="1"/>
  <c r="K15" i="13" s="1"/>
  <c r="E15" i="13"/>
  <c r="H15" i="13"/>
  <c r="Q15" i="13"/>
  <c r="T15" i="13" s="1"/>
  <c r="R15" i="13"/>
  <c r="U15" i="13" s="1"/>
  <c r="C16" i="13"/>
  <c r="D16" i="13"/>
  <c r="G16" i="13" s="1"/>
  <c r="I16" i="13" s="1"/>
  <c r="J16" i="13" s="1"/>
  <c r="K16" i="13" s="1"/>
  <c r="E16" i="13"/>
  <c r="H16" i="13" s="1"/>
  <c r="Q16" i="13"/>
  <c r="R16" i="13"/>
  <c r="U16" i="13" s="1"/>
  <c r="T16" i="13"/>
  <c r="V16" i="13" s="1"/>
  <c r="W16" i="13" s="1"/>
  <c r="X16" i="13" s="1"/>
  <c r="C17" i="13"/>
  <c r="D17" i="13"/>
  <c r="E17" i="13"/>
  <c r="H17" i="13" s="1"/>
  <c r="G17" i="13"/>
  <c r="I17" i="13" s="1"/>
  <c r="J17" i="13" s="1"/>
  <c r="K17" i="13" s="1"/>
  <c r="Q17" i="13"/>
  <c r="R17" i="13"/>
  <c r="T17" i="13"/>
  <c r="V17" i="13" s="1"/>
  <c r="W17" i="13" s="1"/>
  <c r="X17" i="13" s="1"/>
  <c r="U17" i="13"/>
  <c r="C18" i="13"/>
  <c r="D18" i="13"/>
  <c r="E18" i="13"/>
  <c r="G18" i="13"/>
  <c r="I18" i="13" s="1"/>
  <c r="J18" i="13" s="1"/>
  <c r="K18" i="13" s="1"/>
  <c r="H18" i="13"/>
  <c r="Q18" i="13"/>
  <c r="T18" i="13" s="1"/>
  <c r="V18" i="13" s="1"/>
  <c r="W18" i="13" s="1"/>
  <c r="X18" i="13" s="1"/>
  <c r="R18" i="13"/>
  <c r="U18" i="13"/>
  <c r="C19" i="13"/>
  <c r="D19" i="13"/>
  <c r="G19" i="13" s="1"/>
  <c r="I19" i="13" s="1"/>
  <c r="J19" i="13" s="1"/>
  <c r="K19" i="13" s="1"/>
  <c r="E19" i="13"/>
  <c r="H19" i="13"/>
  <c r="Q19" i="13"/>
  <c r="T19" i="13" s="1"/>
  <c r="R19" i="13"/>
  <c r="U19" i="13" s="1"/>
  <c r="C21" i="13"/>
  <c r="D21" i="13"/>
  <c r="G21" i="13" s="1"/>
  <c r="I21" i="13" s="1"/>
  <c r="J21" i="13" s="1"/>
  <c r="K21" i="13" s="1"/>
  <c r="E21" i="13"/>
  <c r="H21" i="13" s="1"/>
  <c r="Q21" i="13"/>
  <c r="R21" i="13"/>
  <c r="U21" i="13" s="1"/>
  <c r="T21" i="13"/>
  <c r="V21" i="13" s="1"/>
  <c r="W21" i="13" s="1"/>
  <c r="X21" i="13" s="1"/>
  <c r="C22" i="13"/>
  <c r="D22" i="13"/>
  <c r="E22" i="13"/>
  <c r="H22" i="13" s="1"/>
  <c r="G22" i="13"/>
  <c r="I22" i="13" s="1"/>
  <c r="J22" i="13" s="1"/>
  <c r="K22" i="13" s="1"/>
  <c r="Q22" i="13"/>
  <c r="R22" i="13"/>
  <c r="T22" i="13"/>
  <c r="V22" i="13" s="1"/>
  <c r="W22" i="13" s="1"/>
  <c r="X22" i="13" s="1"/>
  <c r="U22" i="13"/>
  <c r="C24" i="13"/>
  <c r="D24" i="13"/>
  <c r="E24" i="13"/>
  <c r="G24" i="13"/>
  <c r="I24" i="13" s="1"/>
  <c r="J24" i="13" s="1"/>
  <c r="K24" i="13" s="1"/>
  <c r="H24" i="13"/>
  <c r="Q24" i="13"/>
  <c r="T24" i="13" s="1"/>
  <c r="V24" i="13" s="1"/>
  <c r="W24" i="13" s="1"/>
  <c r="X24" i="13" s="1"/>
  <c r="R24" i="13"/>
  <c r="U24" i="13"/>
  <c r="C25" i="13"/>
  <c r="D25" i="13"/>
  <c r="G25" i="13" s="1"/>
  <c r="I25" i="13" s="1"/>
  <c r="J25" i="13" s="1"/>
  <c r="K25" i="13" s="1"/>
  <c r="E25" i="13"/>
  <c r="H25" i="13"/>
  <c r="Q25" i="13"/>
  <c r="T25" i="13" s="1"/>
  <c r="R25" i="13"/>
  <c r="U25" i="13" s="1"/>
  <c r="C26" i="13"/>
  <c r="D26" i="13"/>
  <c r="G26" i="13" s="1"/>
  <c r="I26" i="13" s="1"/>
  <c r="J26" i="13" s="1"/>
  <c r="K26" i="13" s="1"/>
  <c r="E26" i="13"/>
  <c r="H26" i="13" s="1"/>
  <c r="Q26" i="13"/>
  <c r="R26" i="13"/>
  <c r="U26" i="13" s="1"/>
  <c r="T26" i="13"/>
  <c r="V26" i="13" s="1"/>
  <c r="W26" i="13" s="1"/>
  <c r="X26" i="13" s="1"/>
  <c r="C27" i="13"/>
  <c r="D27" i="13"/>
  <c r="E27" i="13"/>
  <c r="H27" i="13" s="1"/>
  <c r="G27" i="13"/>
  <c r="I27" i="13" s="1"/>
  <c r="J27" i="13" s="1"/>
  <c r="K27" i="13" s="1"/>
  <c r="Q27" i="13"/>
  <c r="R27" i="13"/>
  <c r="T27" i="13"/>
  <c r="V27" i="13" s="1"/>
  <c r="W27" i="13" s="1"/>
  <c r="X27" i="13" s="1"/>
  <c r="U27" i="13"/>
  <c r="C28" i="13"/>
  <c r="D28" i="13"/>
  <c r="E28" i="13"/>
  <c r="G28" i="13"/>
  <c r="I28" i="13" s="1"/>
  <c r="J28" i="13" s="1"/>
  <c r="K28" i="13" s="1"/>
  <c r="H28" i="13"/>
  <c r="Q28" i="13"/>
  <c r="T28" i="13" s="1"/>
  <c r="V28" i="13" s="1"/>
  <c r="W28" i="13" s="1"/>
  <c r="X28" i="13" s="1"/>
  <c r="R28" i="13"/>
  <c r="U28" i="13"/>
  <c r="C29" i="13"/>
  <c r="D29" i="13"/>
  <c r="G29" i="13" s="1"/>
  <c r="I29" i="13" s="1"/>
  <c r="J29" i="13" s="1"/>
  <c r="K29" i="13" s="1"/>
  <c r="E29" i="13"/>
  <c r="H29" i="13"/>
  <c r="Q29" i="13"/>
  <c r="T29" i="13" s="1"/>
  <c r="R29" i="13"/>
  <c r="U29" i="13" s="1"/>
  <c r="C31" i="13"/>
  <c r="D31" i="13"/>
  <c r="G31" i="13" s="1"/>
  <c r="E31" i="13"/>
  <c r="H31" i="13" s="1"/>
  <c r="I31" i="13"/>
  <c r="J31" i="13" s="1"/>
  <c r="K31" i="13" s="1"/>
  <c r="Q31" i="13"/>
  <c r="R31" i="13"/>
  <c r="U31" i="13" s="1"/>
  <c r="T31" i="13"/>
  <c r="C32" i="13"/>
  <c r="D32" i="13"/>
  <c r="E32" i="13"/>
  <c r="H32" i="13" s="1"/>
  <c r="G32" i="13"/>
  <c r="Q32" i="13"/>
  <c r="R32" i="13"/>
  <c r="V32" i="13" s="1"/>
  <c r="W32" i="13" s="1"/>
  <c r="X32" i="13" s="1"/>
  <c r="T32" i="13"/>
  <c r="U32" i="13"/>
  <c r="X18" i="21" l="1"/>
  <c r="Y18" i="21" s="1"/>
  <c r="X17" i="21"/>
  <c r="Y17" i="21" s="1"/>
  <c r="X27" i="21"/>
  <c r="Y27" i="21" s="1"/>
  <c r="X24" i="21"/>
  <c r="Y24" i="21" s="1"/>
  <c r="X14" i="21"/>
  <c r="Y14" i="21" s="1"/>
  <c r="X29" i="21"/>
  <c r="Y29" i="21" s="1"/>
  <c r="X26" i="21"/>
  <c r="Y26" i="21" s="1"/>
  <c r="X19" i="21"/>
  <c r="Y19" i="21" s="1"/>
  <c r="X16" i="21"/>
  <c r="Y16" i="21" s="1"/>
  <c r="X25" i="21"/>
  <c r="Y25" i="21" s="1"/>
  <c r="X21" i="21"/>
  <c r="Y21" i="21" s="1"/>
  <c r="X15" i="21"/>
  <c r="Y15" i="21" s="1"/>
  <c r="K15" i="22"/>
  <c r="L15" i="22" s="1"/>
  <c r="M15" i="22" s="1"/>
  <c r="K27" i="22"/>
  <c r="L27" i="22" s="1"/>
  <c r="M27" i="22" s="1"/>
  <c r="K22" i="22"/>
  <c r="L22" i="22" s="1"/>
  <c r="M22" i="22" s="1"/>
  <c r="K17" i="22"/>
  <c r="L17" i="22" s="1"/>
  <c r="M17" i="22" s="1"/>
  <c r="X26" i="22"/>
  <c r="Y26" i="22" s="1"/>
  <c r="X18" i="22"/>
  <c r="Y18" i="22" s="1"/>
  <c r="X17" i="22"/>
  <c r="Y17" i="22" s="1"/>
  <c r="X27" i="22"/>
  <c r="Y27" i="22" s="1"/>
  <c r="X29" i="22"/>
  <c r="Y29" i="22" s="1"/>
  <c r="X22" i="22"/>
  <c r="Y22" i="22" s="1"/>
  <c r="X21" i="22"/>
  <c r="Y21" i="22" s="1"/>
  <c r="X15" i="22"/>
  <c r="Y15" i="22" s="1"/>
  <c r="X14" i="22"/>
  <c r="Y14" i="22" s="1"/>
  <c r="X25" i="22"/>
  <c r="Y25" i="22" s="1"/>
  <c r="X24" i="22"/>
  <c r="Y24" i="22" s="1"/>
  <c r="X19" i="22"/>
  <c r="Y19" i="22" s="1"/>
  <c r="X28" i="23"/>
  <c r="Y28" i="23" s="1"/>
  <c r="K29" i="23"/>
  <c r="L29" i="23" s="1"/>
  <c r="M29" i="23" s="1"/>
  <c r="X27" i="23"/>
  <c r="Y27" i="23" s="1"/>
  <c r="X26" i="23"/>
  <c r="Y26" i="23" s="1"/>
  <c r="X25" i="23"/>
  <c r="Y25" i="23" s="1"/>
  <c r="X24" i="23"/>
  <c r="Y24" i="23" s="1"/>
  <c r="X22" i="23"/>
  <c r="Y22" i="23" s="1"/>
  <c r="X19" i="23"/>
  <c r="Y19" i="23" s="1"/>
  <c r="X17" i="23"/>
  <c r="Y17" i="23" s="1"/>
  <c r="X16" i="23"/>
  <c r="Y16" i="23" s="1"/>
  <c r="X15" i="23"/>
  <c r="Y15" i="23" s="1"/>
  <c r="X14" i="23"/>
  <c r="Y14" i="23" s="1"/>
  <c r="K28" i="23"/>
  <c r="L28" i="23" s="1"/>
  <c r="M28" i="23" s="1"/>
  <c r="K26" i="23"/>
  <c r="L26" i="23" s="1"/>
  <c r="M26" i="23" s="1"/>
  <c r="K24" i="23"/>
  <c r="L24" i="23" s="1"/>
  <c r="M24" i="23" s="1"/>
  <c r="K21" i="23"/>
  <c r="L21" i="23" s="1"/>
  <c r="M21" i="23" s="1"/>
  <c r="K18" i="23"/>
  <c r="L18" i="23" s="1"/>
  <c r="M18" i="23" s="1"/>
  <c r="K16" i="23"/>
  <c r="L16" i="23" s="1"/>
  <c r="M16" i="23" s="1"/>
  <c r="K15" i="23"/>
  <c r="L15" i="23" s="1"/>
  <c r="M15" i="23" s="1"/>
  <c r="K14" i="23"/>
  <c r="L14" i="23" s="1"/>
  <c r="M14" i="23" s="1"/>
  <c r="X29" i="23"/>
  <c r="Y29" i="23" s="1"/>
  <c r="K15" i="24"/>
  <c r="L15" i="24" s="1"/>
  <c r="M15" i="24" s="1"/>
  <c r="K22" i="24"/>
  <c r="L22" i="24" s="1"/>
  <c r="M22" i="24" s="1"/>
  <c r="K14" i="24"/>
  <c r="L14" i="24" s="1"/>
  <c r="M14" i="24" s="1"/>
  <c r="X26" i="24"/>
  <c r="Y26" i="24" s="1"/>
  <c r="X18" i="24"/>
  <c r="Y18" i="24" s="1"/>
  <c r="X29" i="24"/>
  <c r="Y29" i="24" s="1"/>
  <c r="X28" i="24"/>
  <c r="Y28" i="24" s="1"/>
  <c r="X17" i="24"/>
  <c r="Y17" i="24" s="1"/>
  <c r="X16" i="24"/>
  <c r="Y16" i="24" s="1"/>
  <c r="X15" i="24"/>
  <c r="Y15" i="24" s="1"/>
  <c r="X25" i="24"/>
  <c r="Y25" i="24" s="1"/>
  <c r="X19" i="24"/>
  <c r="Y19" i="24" s="1"/>
  <c r="X27" i="24"/>
  <c r="Y27" i="24" s="1"/>
  <c r="X22" i="24"/>
  <c r="Y22" i="24" s="1"/>
  <c r="W32" i="25"/>
  <c r="X32" i="25" s="1"/>
  <c r="Y32" i="25" s="1"/>
  <c r="W27" i="25"/>
  <c r="W22" i="25"/>
  <c r="W17" i="25"/>
  <c r="X17" i="25" s="1"/>
  <c r="Y17" i="25" s="1"/>
  <c r="K29" i="25"/>
  <c r="L29" i="25" s="1"/>
  <c r="M29" i="25" s="1"/>
  <c r="K27" i="25"/>
  <c r="L27" i="25" s="1"/>
  <c r="M27" i="25" s="1"/>
  <c r="K25" i="25"/>
  <c r="L25" i="25" s="1"/>
  <c r="M25" i="25" s="1"/>
  <c r="K22" i="25"/>
  <c r="L22" i="25" s="1"/>
  <c r="M22" i="25" s="1"/>
  <c r="K19" i="25"/>
  <c r="L19" i="25" s="1"/>
  <c r="M19" i="25" s="1"/>
  <c r="K17" i="25"/>
  <c r="L17" i="25" s="1"/>
  <c r="M17" i="25" s="1"/>
  <c r="K15" i="25"/>
  <c r="L15" i="25" s="1"/>
  <c r="M15" i="25" s="1"/>
  <c r="W31" i="25"/>
  <c r="X31" i="25" s="1"/>
  <c r="Y31" i="25" s="1"/>
  <c r="W26" i="25"/>
  <c r="W21" i="25"/>
  <c r="W16" i="25"/>
  <c r="X16" i="25" s="1"/>
  <c r="Y16" i="25" s="1"/>
  <c r="W29" i="25"/>
  <c r="X29" i="25" s="1"/>
  <c r="Y29" i="25" s="1"/>
  <c r="W25" i="25"/>
  <c r="W19" i="25"/>
  <c r="W15" i="25"/>
  <c r="W14" i="25"/>
  <c r="X14" i="25" s="1"/>
  <c r="Y14" i="25" s="1"/>
  <c r="W28" i="25"/>
  <c r="X28" i="25" s="1"/>
  <c r="Y28" i="25" s="1"/>
  <c r="W18" i="25"/>
  <c r="X26" i="25"/>
  <c r="Y26" i="25" s="1"/>
  <c r="X18" i="25"/>
  <c r="Y18" i="25" s="1"/>
  <c r="X27" i="25"/>
  <c r="Y27" i="25" s="1"/>
  <c r="X24" i="25"/>
  <c r="Y24" i="25" s="1"/>
  <c r="X21" i="25"/>
  <c r="Y21" i="25" s="1"/>
  <c r="X19" i="25"/>
  <c r="Y19" i="25" s="1"/>
  <c r="X25" i="25"/>
  <c r="Y25" i="25" s="1"/>
  <c r="X15" i="25"/>
  <c r="Y15" i="25" s="1"/>
  <c r="X22" i="25"/>
  <c r="Y22" i="25" s="1"/>
  <c r="W24" i="26"/>
  <c r="W22" i="26"/>
  <c r="K29" i="26"/>
  <c r="L29" i="26" s="1"/>
  <c r="M29" i="26" s="1"/>
  <c r="K27" i="26"/>
  <c r="L27" i="26" s="1"/>
  <c r="M27" i="26" s="1"/>
  <c r="K25" i="26"/>
  <c r="L25" i="26" s="1"/>
  <c r="M25" i="26" s="1"/>
  <c r="K22" i="26"/>
  <c r="L22" i="26" s="1"/>
  <c r="M22" i="26" s="1"/>
  <c r="K28" i="26"/>
  <c r="L28" i="26" s="1"/>
  <c r="M28" i="26" s="1"/>
  <c r="K26" i="26"/>
  <c r="L26" i="26" s="1"/>
  <c r="M26" i="26" s="1"/>
  <c r="K24" i="26"/>
  <c r="L24" i="26" s="1"/>
  <c r="M24" i="26" s="1"/>
  <c r="K19" i="26"/>
  <c r="L19" i="26" s="1"/>
  <c r="M19" i="26" s="1"/>
  <c r="K17" i="26"/>
  <c r="L17" i="26" s="1"/>
  <c r="M17" i="26" s="1"/>
  <c r="K15" i="26"/>
  <c r="L15" i="26" s="1"/>
  <c r="M15" i="26" s="1"/>
  <c r="K21" i="26"/>
  <c r="L21" i="26" s="1"/>
  <c r="M21" i="26" s="1"/>
  <c r="K18" i="26"/>
  <c r="L18" i="26" s="1"/>
  <c r="M18" i="26" s="1"/>
  <c r="K16" i="26"/>
  <c r="L16" i="26" s="1"/>
  <c r="M16" i="26" s="1"/>
  <c r="X18" i="26"/>
  <c r="Y18" i="26" s="1"/>
  <c r="X27" i="26"/>
  <c r="Y27" i="26" s="1"/>
  <c r="X26" i="26"/>
  <c r="Y26" i="26" s="1"/>
  <c r="X25" i="26"/>
  <c r="Y25" i="26" s="1"/>
  <c r="X24" i="26"/>
  <c r="Y24" i="26" s="1"/>
  <c r="X22" i="26"/>
  <c r="Y22" i="26" s="1"/>
  <c r="X19" i="26"/>
  <c r="Y19" i="26" s="1"/>
  <c r="X14" i="26"/>
  <c r="Y14" i="26" s="1"/>
  <c r="X17" i="26"/>
  <c r="Y17" i="26" s="1"/>
  <c r="X15" i="26"/>
  <c r="Y15" i="26" s="1"/>
  <c r="X29" i="26"/>
  <c r="Y29" i="26" s="1"/>
  <c r="X16" i="26"/>
  <c r="Y16" i="26" s="1"/>
  <c r="K28" i="27"/>
  <c r="L28" i="27" s="1"/>
  <c r="M28" i="27" s="1"/>
  <c r="K24" i="27"/>
  <c r="L24" i="27" s="1"/>
  <c r="M24" i="27" s="1"/>
  <c r="K22" i="27"/>
  <c r="L22" i="27" s="1"/>
  <c r="M22" i="27" s="1"/>
  <c r="K17" i="27"/>
  <c r="L17" i="27" s="1"/>
  <c r="M17" i="27" s="1"/>
  <c r="K14" i="27"/>
  <c r="L14" i="27" s="1"/>
  <c r="M14" i="27" s="1"/>
  <c r="X29" i="27"/>
  <c r="Y29" i="27" s="1"/>
  <c r="W28" i="27"/>
  <c r="X28" i="27" s="1"/>
  <c r="Y28" i="27" s="1"/>
  <c r="W27" i="27"/>
  <c r="X27" i="27" s="1"/>
  <c r="Y27" i="27" s="1"/>
  <c r="W26" i="27"/>
  <c r="X26" i="27" s="1"/>
  <c r="Y26" i="27" s="1"/>
  <c r="W25" i="27"/>
  <c r="X25" i="27" s="1"/>
  <c r="Y25" i="27" s="1"/>
  <c r="W22" i="27"/>
  <c r="X22" i="27" s="1"/>
  <c r="Y22" i="27" s="1"/>
  <c r="W19" i="27"/>
  <c r="X19" i="27" s="1"/>
  <c r="Y19" i="27" s="1"/>
  <c r="W18" i="27"/>
  <c r="X18" i="27" s="1"/>
  <c r="Y18" i="27" s="1"/>
  <c r="W17" i="27"/>
  <c r="X17" i="27" s="1"/>
  <c r="Y17" i="27" s="1"/>
  <c r="W16" i="27"/>
  <c r="X16" i="27" s="1"/>
  <c r="Y16" i="27" s="1"/>
  <c r="W15" i="27"/>
  <c r="X15" i="27" s="1"/>
  <c r="Y15" i="27" s="1"/>
  <c r="X14" i="27"/>
  <c r="Y14" i="27" s="1"/>
  <c r="V29" i="20"/>
  <c r="W29" i="20" s="1"/>
  <c r="X29" i="20" s="1"/>
  <c r="V25" i="20"/>
  <c r="W25" i="20" s="1"/>
  <c r="X25" i="20" s="1"/>
  <c r="V19" i="20"/>
  <c r="W19" i="20" s="1"/>
  <c r="X19" i="20" s="1"/>
  <c r="V15" i="20"/>
  <c r="W15" i="20" s="1"/>
  <c r="X15" i="20" s="1"/>
  <c r="I31" i="20"/>
  <c r="J31" i="20" s="1"/>
  <c r="K31" i="20" s="1"/>
  <c r="I32" i="20"/>
  <c r="J32" i="20" s="1"/>
  <c r="K32" i="20" s="1"/>
  <c r="V31" i="20"/>
  <c r="W31" i="20" s="1"/>
  <c r="X31" i="20" s="1"/>
  <c r="V29" i="19"/>
  <c r="W29" i="19" s="1"/>
  <c r="X29" i="19" s="1"/>
  <c r="V25" i="19"/>
  <c r="W25" i="19" s="1"/>
  <c r="X25" i="19" s="1"/>
  <c r="V19" i="19"/>
  <c r="W19" i="19" s="1"/>
  <c r="X19" i="19" s="1"/>
  <c r="V15" i="19"/>
  <c r="W15" i="19" s="1"/>
  <c r="X15" i="19" s="1"/>
  <c r="I32" i="19"/>
  <c r="J32" i="19" s="1"/>
  <c r="K32" i="19" s="1"/>
  <c r="V31" i="19"/>
  <c r="W31" i="19" s="1"/>
  <c r="X31" i="19" s="1"/>
  <c r="V29" i="18"/>
  <c r="W29" i="18" s="1"/>
  <c r="X29" i="18" s="1"/>
  <c r="V25" i="18"/>
  <c r="W25" i="18" s="1"/>
  <c r="X25" i="18" s="1"/>
  <c r="V19" i="18"/>
  <c r="W19" i="18" s="1"/>
  <c r="X19" i="18" s="1"/>
  <c r="V15" i="18"/>
  <c r="W15" i="18" s="1"/>
  <c r="X15" i="18" s="1"/>
  <c r="I32" i="18"/>
  <c r="J32" i="18" s="1"/>
  <c r="K32" i="18" s="1"/>
  <c r="V31" i="18"/>
  <c r="W31" i="18" s="1"/>
  <c r="X31" i="18" s="1"/>
  <c r="V29" i="17"/>
  <c r="W29" i="17" s="1"/>
  <c r="X29" i="17" s="1"/>
  <c r="V25" i="17"/>
  <c r="W25" i="17" s="1"/>
  <c r="X25" i="17" s="1"/>
  <c r="V19" i="17"/>
  <c r="W19" i="17" s="1"/>
  <c r="X19" i="17" s="1"/>
  <c r="V15" i="17"/>
  <c r="W15" i="17" s="1"/>
  <c r="X15" i="17" s="1"/>
  <c r="I32" i="17"/>
  <c r="J32" i="17" s="1"/>
  <c r="K32" i="17" s="1"/>
  <c r="V31" i="17"/>
  <c r="W31" i="17" s="1"/>
  <c r="X31" i="17" s="1"/>
  <c r="I31" i="17"/>
  <c r="J31" i="17" s="1"/>
  <c r="K31" i="17" s="1"/>
  <c r="V29" i="16"/>
  <c r="W29" i="16" s="1"/>
  <c r="X29" i="16" s="1"/>
  <c r="V25" i="16"/>
  <c r="W25" i="16" s="1"/>
  <c r="X25" i="16" s="1"/>
  <c r="V19" i="16"/>
  <c r="W19" i="16" s="1"/>
  <c r="X19" i="16" s="1"/>
  <c r="V15" i="16"/>
  <c r="W15" i="16" s="1"/>
  <c r="X15" i="16" s="1"/>
  <c r="I32" i="16"/>
  <c r="J32" i="16" s="1"/>
  <c r="K32" i="16" s="1"/>
  <c r="V31" i="16"/>
  <c r="W31" i="16" s="1"/>
  <c r="X31" i="16" s="1"/>
  <c r="I31" i="16"/>
  <c r="J31" i="16" s="1"/>
  <c r="K31" i="16" s="1"/>
  <c r="V26" i="15"/>
  <c r="W26" i="15" s="1"/>
  <c r="X26" i="15" s="1"/>
  <c r="V21" i="15"/>
  <c r="W21" i="15" s="1"/>
  <c r="X21" i="15" s="1"/>
  <c r="V16" i="15"/>
  <c r="W16" i="15" s="1"/>
  <c r="X16" i="15" s="1"/>
  <c r="I32" i="15"/>
  <c r="J32" i="15" s="1"/>
  <c r="K32" i="15" s="1"/>
  <c r="V31" i="15"/>
  <c r="W31" i="15" s="1"/>
  <c r="X31" i="15" s="1"/>
  <c r="V32" i="15"/>
  <c r="W32" i="15" s="1"/>
  <c r="X32" i="15" s="1"/>
  <c r="U32" i="14"/>
  <c r="V32" i="14"/>
  <c r="W32" i="14" s="1"/>
  <c r="X32" i="14" s="1"/>
  <c r="I29" i="14"/>
  <c r="J29" i="14" s="1"/>
  <c r="K29" i="14" s="1"/>
  <c r="I25" i="14"/>
  <c r="J25" i="14" s="1"/>
  <c r="K25" i="14" s="1"/>
  <c r="I19" i="14"/>
  <c r="J19" i="14" s="1"/>
  <c r="K19" i="14" s="1"/>
  <c r="I32" i="14"/>
  <c r="J32" i="14" s="1"/>
  <c r="K32" i="14" s="1"/>
  <c r="V27" i="14"/>
  <c r="W27" i="14" s="1"/>
  <c r="X27" i="14" s="1"/>
  <c r="V22" i="14"/>
  <c r="W22" i="14" s="1"/>
  <c r="X22" i="14" s="1"/>
  <c r="V17" i="14"/>
  <c r="W17" i="14" s="1"/>
  <c r="X17" i="14" s="1"/>
  <c r="V29" i="13"/>
  <c r="W29" i="13" s="1"/>
  <c r="X29" i="13" s="1"/>
  <c r="V25" i="13"/>
  <c r="W25" i="13" s="1"/>
  <c r="X25" i="13" s="1"/>
  <c r="V19" i="13"/>
  <c r="W19" i="13" s="1"/>
  <c r="X19" i="13" s="1"/>
  <c r="V15" i="13"/>
  <c r="W15" i="13" s="1"/>
  <c r="X15" i="13" s="1"/>
  <c r="I32" i="13"/>
  <c r="J32" i="13" s="1"/>
  <c r="K32" i="13" s="1"/>
  <c r="V31" i="13"/>
  <c r="W31" i="13" s="1"/>
  <c r="X31" i="13" s="1"/>
  <c r="H32" i="8"/>
  <c r="G32" i="8"/>
  <c r="I32" i="8" s="1"/>
  <c r="J32" i="8" s="1"/>
  <c r="K32" i="8" s="1"/>
  <c r="H31" i="8"/>
  <c r="G31" i="8"/>
  <c r="I31" i="8" s="1"/>
  <c r="J31" i="8" s="1"/>
  <c r="K31" i="8" s="1"/>
  <c r="H29" i="8"/>
  <c r="G29" i="8"/>
  <c r="H28" i="8"/>
  <c r="G28" i="8"/>
  <c r="H27" i="8"/>
  <c r="I27" i="8" s="1"/>
  <c r="J27" i="8" s="1"/>
  <c r="K27" i="8" s="1"/>
  <c r="G27" i="8"/>
  <c r="H26" i="8"/>
  <c r="G26" i="8"/>
  <c r="I26" i="8" s="1"/>
  <c r="J26" i="8" s="1"/>
  <c r="K26" i="8" s="1"/>
  <c r="H25" i="8"/>
  <c r="G25" i="8"/>
  <c r="I25" i="8" s="1"/>
  <c r="J25" i="8" s="1"/>
  <c r="K25" i="8" s="1"/>
  <c r="H24" i="8"/>
  <c r="G24" i="8"/>
  <c r="I24" i="8" s="1"/>
  <c r="J24" i="8" s="1"/>
  <c r="K24" i="8" s="1"/>
  <c r="H22" i="8"/>
  <c r="G22" i="8"/>
  <c r="I22" i="8" s="1"/>
  <c r="J22" i="8" s="1"/>
  <c r="K22" i="8" s="1"/>
  <c r="I21" i="8"/>
  <c r="J21" i="8" s="1"/>
  <c r="K21" i="8" s="1"/>
  <c r="H21" i="8"/>
  <c r="G21" i="8"/>
  <c r="H19" i="8"/>
  <c r="G19" i="8"/>
  <c r="I19" i="8" s="1"/>
  <c r="J19" i="8" s="1"/>
  <c r="K19" i="8" s="1"/>
  <c r="H18" i="8"/>
  <c r="G18" i="8"/>
  <c r="I18" i="8" s="1"/>
  <c r="J18" i="8" s="1"/>
  <c r="K18" i="8" s="1"/>
  <c r="H17" i="8"/>
  <c r="G17" i="8"/>
  <c r="H16" i="8"/>
  <c r="G16" i="8"/>
  <c r="I16" i="8" s="1"/>
  <c r="J16" i="8" s="1"/>
  <c r="K16" i="8" s="1"/>
  <c r="H15" i="8"/>
  <c r="G15" i="8"/>
  <c r="I15" i="8" s="1"/>
  <c r="J15" i="8" s="1"/>
  <c r="K15" i="8" s="1"/>
  <c r="H14" i="8"/>
  <c r="G14" i="8"/>
  <c r="I14" i="8" s="1"/>
  <c r="J14" i="8" s="1"/>
  <c r="K14" i="8" s="1"/>
  <c r="H32" i="7"/>
  <c r="I32" i="7" s="1"/>
  <c r="J32" i="7" s="1"/>
  <c r="K32" i="7" s="1"/>
  <c r="G32" i="7"/>
  <c r="H31" i="7"/>
  <c r="G31" i="7"/>
  <c r="I31" i="7" s="1"/>
  <c r="J31" i="7" s="1"/>
  <c r="K31" i="7" s="1"/>
  <c r="H29" i="7"/>
  <c r="G29" i="7"/>
  <c r="I29" i="7" s="1"/>
  <c r="J29" i="7" s="1"/>
  <c r="K29" i="7" s="1"/>
  <c r="I28" i="7"/>
  <c r="J28" i="7" s="1"/>
  <c r="K28" i="7" s="1"/>
  <c r="H28" i="7"/>
  <c r="G28" i="7"/>
  <c r="H27" i="7"/>
  <c r="G27" i="7"/>
  <c r="H26" i="7"/>
  <c r="G26" i="7"/>
  <c r="I26" i="7" s="1"/>
  <c r="J26" i="7" s="1"/>
  <c r="K26" i="7" s="1"/>
  <c r="H25" i="7"/>
  <c r="G25" i="7"/>
  <c r="I25" i="7" s="1"/>
  <c r="J25" i="7" s="1"/>
  <c r="K25" i="7" s="1"/>
  <c r="H24" i="7"/>
  <c r="G24" i="7"/>
  <c r="H22" i="7"/>
  <c r="G22" i="7"/>
  <c r="H21" i="7"/>
  <c r="G21" i="7"/>
  <c r="I21" i="7" s="1"/>
  <c r="J21" i="7" s="1"/>
  <c r="K21" i="7" s="1"/>
  <c r="H19" i="7"/>
  <c r="G19" i="7"/>
  <c r="H18" i="7"/>
  <c r="G18" i="7"/>
  <c r="I18" i="7" s="1"/>
  <c r="J18" i="7" s="1"/>
  <c r="K18" i="7" s="1"/>
  <c r="H17" i="7"/>
  <c r="G17" i="7"/>
  <c r="H16" i="7"/>
  <c r="G16" i="7"/>
  <c r="I16" i="7" s="1"/>
  <c r="J16" i="7" s="1"/>
  <c r="K16" i="7" s="1"/>
  <c r="H15" i="7"/>
  <c r="G15" i="7"/>
  <c r="H14" i="7"/>
  <c r="G14" i="7"/>
  <c r="I14" i="7" s="1"/>
  <c r="J14" i="7" s="1"/>
  <c r="K14" i="7" s="1"/>
  <c r="H32" i="6"/>
  <c r="G32" i="6"/>
  <c r="H31" i="6"/>
  <c r="G31" i="6"/>
  <c r="I31" i="6" s="1"/>
  <c r="J31" i="6" s="1"/>
  <c r="K31" i="6" s="1"/>
  <c r="H29" i="6"/>
  <c r="G29" i="6"/>
  <c r="I29" i="6" s="1"/>
  <c r="J29" i="6" s="1"/>
  <c r="K29" i="6" s="1"/>
  <c r="H28" i="6"/>
  <c r="G28" i="6"/>
  <c r="H27" i="6"/>
  <c r="I27" i="6" s="1"/>
  <c r="J27" i="6" s="1"/>
  <c r="K27" i="6" s="1"/>
  <c r="G27" i="6"/>
  <c r="H26" i="6"/>
  <c r="I26" i="6" s="1"/>
  <c r="J26" i="6" s="1"/>
  <c r="K26" i="6" s="1"/>
  <c r="G26" i="6"/>
  <c r="H25" i="6"/>
  <c r="I25" i="6" s="1"/>
  <c r="J25" i="6" s="1"/>
  <c r="K25" i="6" s="1"/>
  <c r="G25" i="6"/>
  <c r="H24" i="6"/>
  <c r="G24" i="6"/>
  <c r="H22" i="6"/>
  <c r="G22" i="6"/>
  <c r="H21" i="6"/>
  <c r="G21" i="6"/>
  <c r="I21" i="6" s="1"/>
  <c r="J21" i="6" s="1"/>
  <c r="K21" i="6" s="1"/>
  <c r="H19" i="6"/>
  <c r="G19" i="6"/>
  <c r="I19" i="6" s="1"/>
  <c r="J19" i="6" s="1"/>
  <c r="K19" i="6" s="1"/>
  <c r="H18" i="6"/>
  <c r="G18" i="6"/>
  <c r="I18" i="6" s="1"/>
  <c r="J18" i="6" s="1"/>
  <c r="K18" i="6" s="1"/>
  <c r="H17" i="6"/>
  <c r="G17" i="6"/>
  <c r="H16" i="6"/>
  <c r="G16" i="6"/>
  <c r="I15" i="6"/>
  <c r="J15" i="6" s="1"/>
  <c r="K15" i="6" s="1"/>
  <c r="H15" i="6"/>
  <c r="G15" i="6"/>
  <c r="H14" i="6"/>
  <c r="G14" i="6"/>
  <c r="H32" i="5"/>
  <c r="G32" i="5"/>
  <c r="H31" i="5"/>
  <c r="G31" i="5"/>
  <c r="I31" i="5" s="1"/>
  <c r="J31" i="5" s="1"/>
  <c r="K31" i="5" s="1"/>
  <c r="H29" i="5"/>
  <c r="G29" i="5"/>
  <c r="I29" i="5" s="1"/>
  <c r="J29" i="5" s="1"/>
  <c r="K29" i="5" s="1"/>
  <c r="H28" i="5"/>
  <c r="G28" i="5"/>
  <c r="H27" i="5"/>
  <c r="I27" i="5" s="1"/>
  <c r="J27" i="5" s="1"/>
  <c r="K27" i="5" s="1"/>
  <c r="G27" i="5"/>
  <c r="H26" i="5"/>
  <c r="G26" i="5"/>
  <c r="I26" i="5" s="1"/>
  <c r="J26" i="5" s="1"/>
  <c r="K26" i="5" s="1"/>
  <c r="H25" i="5"/>
  <c r="G25" i="5"/>
  <c r="I25" i="5" s="1"/>
  <c r="J25" i="5" s="1"/>
  <c r="K25" i="5" s="1"/>
  <c r="H24" i="5"/>
  <c r="G24" i="5"/>
  <c r="I24" i="5" s="1"/>
  <c r="J24" i="5" s="1"/>
  <c r="K24" i="5" s="1"/>
  <c r="H22" i="5"/>
  <c r="G22" i="5"/>
  <c r="I22" i="5" s="1"/>
  <c r="J22" i="5" s="1"/>
  <c r="K22" i="5" s="1"/>
  <c r="H21" i="5"/>
  <c r="G21" i="5"/>
  <c r="I21" i="5" s="1"/>
  <c r="J21" i="5" s="1"/>
  <c r="K21" i="5" s="1"/>
  <c r="H19" i="5"/>
  <c r="G19" i="5"/>
  <c r="I19" i="5" s="1"/>
  <c r="J19" i="5" s="1"/>
  <c r="K19" i="5" s="1"/>
  <c r="H18" i="5"/>
  <c r="G18" i="5"/>
  <c r="I18" i="5" s="1"/>
  <c r="J18" i="5" s="1"/>
  <c r="K18" i="5" s="1"/>
  <c r="H17" i="5"/>
  <c r="G17" i="5"/>
  <c r="I16" i="5"/>
  <c r="J16" i="5" s="1"/>
  <c r="K16" i="5" s="1"/>
  <c r="H16" i="5"/>
  <c r="G16" i="5"/>
  <c r="H15" i="5"/>
  <c r="G15" i="5"/>
  <c r="I15" i="5" s="1"/>
  <c r="J15" i="5" s="1"/>
  <c r="K15" i="5" s="1"/>
  <c r="H14" i="5"/>
  <c r="G14" i="5"/>
  <c r="I14" i="5" s="1"/>
  <c r="J14" i="5" s="1"/>
  <c r="K14" i="5" s="1"/>
  <c r="H32" i="4"/>
  <c r="G32" i="4"/>
  <c r="H31" i="4"/>
  <c r="G31" i="4"/>
  <c r="I31" i="4" s="1"/>
  <c r="J31" i="4" s="1"/>
  <c r="K31" i="4" s="1"/>
  <c r="I29" i="4"/>
  <c r="J29" i="4" s="1"/>
  <c r="K29" i="4" s="1"/>
  <c r="H29" i="4"/>
  <c r="G29" i="4"/>
  <c r="H28" i="4"/>
  <c r="I28" i="4" s="1"/>
  <c r="J28" i="4" s="1"/>
  <c r="K28" i="4" s="1"/>
  <c r="G28" i="4"/>
  <c r="H27" i="4"/>
  <c r="G27" i="4"/>
  <c r="I27" i="4" s="1"/>
  <c r="J27" i="4" s="1"/>
  <c r="K27" i="4" s="1"/>
  <c r="H26" i="4"/>
  <c r="G26" i="4"/>
  <c r="H25" i="4"/>
  <c r="G25" i="4"/>
  <c r="I25" i="4" s="1"/>
  <c r="J25" i="4" s="1"/>
  <c r="K25" i="4" s="1"/>
  <c r="H24" i="4"/>
  <c r="G24" i="4"/>
  <c r="H22" i="4"/>
  <c r="G22" i="4"/>
  <c r="I22" i="4" s="1"/>
  <c r="J22" i="4" s="1"/>
  <c r="K22" i="4" s="1"/>
  <c r="H21" i="4"/>
  <c r="G21" i="4"/>
  <c r="I21" i="4" s="1"/>
  <c r="J21" i="4" s="1"/>
  <c r="K21" i="4" s="1"/>
  <c r="I19" i="4"/>
  <c r="J19" i="4" s="1"/>
  <c r="K19" i="4" s="1"/>
  <c r="H19" i="4"/>
  <c r="G19" i="4"/>
  <c r="H18" i="4"/>
  <c r="G18" i="4"/>
  <c r="H17" i="4"/>
  <c r="G17" i="4"/>
  <c r="I17" i="4" s="1"/>
  <c r="J17" i="4" s="1"/>
  <c r="K17" i="4" s="1"/>
  <c r="H16" i="4"/>
  <c r="G16" i="4"/>
  <c r="H15" i="4"/>
  <c r="G15" i="4"/>
  <c r="H14" i="4"/>
  <c r="G14" i="4"/>
  <c r="I14" i="4" s="1"/>
  <c r="J14" i="4" s="1"/>
  <c r="K14" i="4" s="1"/>
  <c r="H32" i="3"/>
  <c r="G32" i="3"/>
  <c r="H31" i="3"/>
  <c r="G31" i="3"/>
  <c r="I31" i="3" s="1"/>
  <c r="J31" i="3" s="1"/>
  <c r="K31" i="3" s="1"/>
  <c r="H29" i="3"/>
  <c r="G29" i="3"/>
  <c r="H28" i="3"/>
  <c r="G28" i="3"/>
  <c r="H27" i="3"/>
  <c r="G27" i="3"/>
  <c r="H26" i="3"/>
  <c r="G26" i="3"/>
  <c r="H25" i="3"/>
  <c r="I25" i="3" s="1"/>
  <c r="J25" i="3" s="1"/>
  <c r="K25" i="3" s="1"/>
  <c r="G25" i="3"/>
  <c r="H24" i="3"/>
  <c r="G24" i="3"/>
  <c r="H22" i="3"/>
  <c r="G22" i="3"/>
  <c r="I22" i="3" s="1"/>
  <c r="J22" i="3" s="1"/>
  <c r="K22" i="3" s="1"/>
  <c r="H21" i="3"/>
  <c r="G21" i="3"/>
  <c r="I21" i="3" s="1"/>
  <c r="J21" i="3" s="1"/>
  <c r="K21" i="3" s="1"/>
  <c r="H19" i="3"/>
  <c r="I19" i="3" s="1"/>
  <c r="J19" i="3" s="1"/>
  <c r="K19" i="3" s="1"/>
  <c r="G19" i="3"/>
  <c r="H18" i="3"/>
  <c r="G18" i="3"/>
  <c r="I18" i="3" s="1"/>
  <c r="J18" i="3" s="1"/>
  <c r="K18" i="3" s="1"/>
  <c r="H17" i="3"/>
  <c r="G17" i="3"/>
  <c r="I17" i="3" s="1"/>
  <c r="J17" i="3" s="1"/>
  <c r="K17" i="3" s="1"/>
  <c r="H16" i="3"/>
  <c r="G16" i="3"/>
  <c r="I16" i="3" s="1"/>
  <c r="J16" i="3" s="1"/>
  <c r="K16" i="3" s="1"/>
  <c r="H15" i="3"/>
  <c r="G15" i="3"/>
  <c r="I15" i="3" s="1"/>
  <c r="J15" i="3" s="1"/>
  <c r="K15" i="3" s="1"/>
  <c r="H14" i="3"/>
  <c r="G14" i="3"/>
  <c r="I14" i="3" s="1"/>
  <c r="J14" i="3" s="1"/>
  <c r="K14" i="3" s="1"/>
  <c r="H32" i="1"/>
  <c r="G32" i="1"/>
  <c r="H31" i="1"/>
  <c r="I31" i="1" s="1"/>
  <c r="J31" i="1" s="1"/>
  <c r="K31" i="1" s="1"/>
  <c r="G31" i="1"/>
  <c r="H29" i="1"/>
  <c r="G29" i="1"/>
  <c r="I29" i="1" s="1"/>
  <c r="J29" i="1" s="1"/>
  <c r="K29" i="1" s="1"/>
  <c r="H28" i="1"/>
  <c r="G28" i="1"/>
  <c r="I28" i="1" s="1"/>
  <c r="J28" i="1" s="1"/>
  <c r="K28" i="1" s="1"/>
  <c r="H27" i="1"/>
  <c r="G27" i="1"/>
  <c r="I27" i="1" s="1"/>
  <c r="J27" i="1" s="1"/>
  <c r="K27" i="1" s="1"/>
  <c r="I26" i="1"/>
  <c r="J26" i="1" s="1"/>
  <c r="K26" i="1" s="1"/>
  <c r="H26" i="1"/>
  <c r="G26" i="1"/>
  <c r="H25" i="1"/>
  <c r="G25" i="1"/>
  <c r="I25" i="1" s="1"/>
  <c r="J25" i="1" s="1"/>
  <c r="K25" i="1" s="1"/>
  <c r="H24" i="1"/>
  <c r="G24" i="1"/>
  <c r="I24" i="1" s="1"/>
  <c r="J24" i="1" s="1"/>
  <c r="K24" i="1" s="1"/>
  <c r="H22" i="1"/>
  <c r="I22" i="1" s="1"/>
  <c r="J22" i="1" s="1"/>
  <c r="K22" i="1" s="1"/>
  <c r="G22" i="1"/>
  <c r="H21" i="1"/>
  <c r="G21" i="1"/>
  <c r="H19" i="1"/>
  <c r="G19" i="1"/>
  <c r="I19" i="1" s="1"/>
  <c r="J19" i="1" s="1"/>
  <c r="K19" i="1" s="1"/>
  <c r="H18" i="1"/>
  <c r="G18" i="1"/>
  <c r="I18" i="1" s="1"/>
  <c r="J18" i="1" s="1"/>
  <c r="K18" i="1" s="1"/>
  <c r="H17" i="1"/>
  <c r="G17" i="1"/>
  <c r="H16" i="1"/>
  <c r="I16" i="1" s="1"/>
  <c r="J16" i="1" s="1"/>
  <c r="K16" i="1" s="1"/>
  <c r="G16" i="1"/>
  <c r="I15" i="1"/>
  <c r="J15" i="1" s="1"/>
  <c r="K15" i="1" s="1"/>
  <c r="H15" i="1"/>
  <c r="G15" i="1"/>
  <c r="H14" i="1"/>
  <c r="G14" i="1"/>
  <c r="T32" i="1"/>
  <c r="S32" i="1"/>
  <c r="U32" i="1" s="1"/>
  <c r="V32" i="1" s="1"/>
  <c r="W32" i="1" s="1"/>
  <c r="T31" i="1"/>
  <c r="U31" i="1" s="1"/>
  <c r="V31" i="1" s="1"/>
  <c r="W31" i="1" s="1"/>
  <c r="S31" i="1"/>
  <c r="T29" i="1"/>
  <c r="S29" i="1"/>
  <c r="U29" i="1" s="1"/>
  <c r="V29" i="1" s="1"/>
  <c r="W29" i="1" s="1"/>
  <c r="T28" i="1"/>
  <c r="S28" i="1"/>
  <c r="U28" i="1" s="1"/>
  <c r="V28" i="1" s="1"/>
  <c r="W28" i="1" s="1"/>
  <c r="T27" i="1"/>
  <c r="S27" i="1"/>
  <c r="T26" i="1"/>
  <c r="S26" i="1"/>
  <c r="U25" i="1"/>
  <c r="V25" i="1" s="1"/>
  <c r="W25" i="1" s="1"/>
  <c r="T25" i="1"/>
  <c r="S25" i="1"/>
  <c r="T24" i="1"/>
  <c r="S24" i="1"/>
  <c r="T22" i="1"/>
  <c r="S22" i="1"/>
  <c r="T21" i="1"/>
  <c r="U21" i="1" s="1"/>
  <c r="V21" i="1" s="1"/>
  <c r="W21" i="1" s="1"/>
  <c r="S21" i="1"/>
  <c r="T19" i="1"/>
  <c r="S19" i="1"/>
  <c r="U19" i="1" s="1"/>
  <c r="V19" i="1" s="1"/>
  <c r="W19" i="1" s="1"/>
  <c r="T18" i="1"/>
  <c r="S18" i="1"/>
  <c r="U18" i="1" s="1"/>
  <c r="V18" i="1" s="1"/>
  <c r="W18" i="1" s="1"/>
  <c r="T17" i="1"/>
  <c r="S17" i="1"/>
  <c r="U17" i="1" s="1"/>
  <c r="V17" i="1" s="1"/>
  <c r="W17" i="1" s="1"/>
  <c r="T16" i="1"/>
  <c r="S16" i="1"/>
  <c r="T15" i="1"/>
  <c r="S15" i="1"/>
  <c r="U15" i="1" s="1"/>
  <c r="V15" i="1" s="1"/>
  <c r="W15" i="1" s="1"/>
  <c r="T14" i="1"/>
  <c r="S14" i="1"/>
  <c r="U14" i="1" s="1"/>
  <c r="V14" i="1" s="1"/>
  <c r="W14" i="1" s="1"/>
  <c r="H32" i="2"/>
  <c r="G32" i="2"/>
  <c r="H31" i="2"/>
  <c r="G31" i="2"/>
  <c r="I31" i="2" s="1"/>
  <c r="J31" i="2" s="1"/>
  <c r="K31" i="2" s="1"/>
  <c r="H29" i="2"/>
  <c r="I29" i="2" s="1"/>
  <c r="J29" i="2" s="1"/>
  <c r="K29" i="2" s="1"/>
  <c r="G29" i="2"/>
  <c r="H28" i="2"/>
  <c r="G28" i="2"/>
  <c r="H27" i="2"/>
  <c r="G27" i="2"/>
  <c r="H26" i="2"/>
  <c r="G26" i="2"/>
  <c r="I26" i="2" s="1"/>
  <c r="J26" i="2" s="1"/>
  <c r="K26" i="2" s="1"/>
  <c r="H25" i="2"/>
  <c r="G25" i="2"/>
  <c r="I25" i="2" s="1"/>
  <c r="J25" i="2" s="1"/>
  <c r="K25" i="2" s="1"/>
  <c r="H24" i="2"/>
  <c r="G24" i="2"/>
  <c r="H22" i="2"/>
  <c r="G22" i="2"/>
  <c r="I22" i="2" s="1"/>
  <c r="J22" i="2" s="1"/>
  <c r="K22" i="2" s="1"/>
  <c r="I21" i="2"/>
  <c r="J21" i="2" s="1"/>
  <c r="K21" i="2" s="1"/>
  <c r="H21" i="2"/>
  <c r="G21" i="2"/>
  <c r="H19" i="2"/>
  <c r="I19" i="2" s="1"/>
  <c r="J19" i="2" s="1"/>
  <c r="K19" i="2" s="1"/>
  <c r="G19" i="2"/>
  <c r="H18" i="2"/>
  <c r="G18" i="2"/>
  <c r="I18" i="2" s="1"/>
  <c r="J18" i="2" s="1"/>
  <c r="K18" i="2" s="1"/>
  <c r="H17" i="2"/>
  <c r="G17" i="2"/>
  <c r="I17" i="2" s="1"/>
  <c r="J17" i="2" s="1"/>
  <c r="K17" i="2" s="1"/>
  <c r="H16" i="2"/>
  <c r="G16" i="2"/>
  <c r="I16" i="2" s="1"/>
  <c r="J16" i="2" s="1"/>
  <c r="K16" i="2" s="1"/>
  <c r="H15" i="2"/>
  <c r="G15" i="2"/>
  <c r="I15" i="2" s="1"/>
  <c r="J15" i="2" s="1"/>
  <c r="K15" i="2" s="1"/>
  <c r="H14" i="2"/>
  <c r="G14" i="2"/>
  <c r="I14" i="2" s="1"/>
  <c r="J14" i="2" s="1"/>
  <c r="K14" i="2" s="1"/>
  <c r="T32" i="8"/>
  <c r="S32" i="8"/>
  <c r="T31" i="8"/>
  <c r="S31" i="8"/>
  <c r="T29" i="8"/>
  <c r="S29" i="8"/>
  <c r="T28" i="8"/>
  <c r="S28" i="8"/>
  <c r="T27" i="8"/>
  <c r="S27" i="8"/>
  <c r="T26" i="8"/>
  <c r="S26" i="8"/>
  <c r="T25" i="8"/>
  <c r="S25" i="8"/>
  <c r="T24" i="8"/>
  <c r="S24" i="8"/>
  <c r="T22" i="8"/>
  <c r="S22" i="8"/>
  <c r="T21" i="8"/>
  <c r="S21" i="8"/>
  <c r="T19" i="8"/>
  <c r="S19" i="8"/>
  <c r="T18" i="8"/>
  <c r="S18" i="8"/>
  <c r="T17" i="8"/>
  <c r="S17" i="8"/>
  <c r="T16" i="8"/>
  <c r="S16" i="8"/>
  <c r="T15" i="8"/>
  <c r="S15" i="8"/>
  <c r="T14" i="8"/>
  <c r="S14" i="8"/>
  <c r="T32" i="7"/>
  <c r="S32" i="7"/>
  <c r="T31" i="7"/>
  <c r="U31" i="7" s="1"/>
  <c r="V31" i="7" s="1"/>
  <c r="W31" i="7" s="1"/>
  <c r="S31" i="7"/>
  <c r="T29" i="7"/>
  <c r="S29" i="7"/>
  <c r="T28" i="7"/>
  <c r="U28" i="7" s="1"/>
  <c r="V28" i="7" s="1"/>
  <c r="W28" i="7" s="1"/>
  <c r="S28" i="7"/>
  <c r="T27" i="7"/>
  <c r="S27" i="7"/>
  <c r="T26" i="7"/>
  <c r="S26" i="7"/>
  <c r="T25" i="7"/>
  <c r="S25" i="7"/>
  <c r="T24" i="7"/>
  <c r="S24" i="7"/>
  <c r="T22" i="7"/>
  <c r="S22" i="7"/>
  <c r="T21" i="7"/>
  <c r="S21" i="7"/>
  <c r="T19" i="7"/>
  <c r="S19" i="7"/>
  <c r="T18" i="7"/>
  <c r="S18" i="7"/>
  <c r="T17" i="7"/>
  <c r="S17" i="7"/>
  <c r="T16" i="7"/>
  <c r="S16" i="7"/>
  <c r="T15" i="7"/>
  <c r="S15" i="7"/>
  <c r="T14" i="7"/>
  <c r="S14" i="7"/>
  <c r="T32" i="6"/>
  <c r="S32" i="6"/>
  <c r="T31" i="6"/>
  <c r="U31" i="6" s="1"/>
  <c r="V31" i="6" s="1"/>
  <c r="W31" i="6" s="1"/>
  <c r="S31" i="6"/>
  <c r="T29" i="6"/>
  <c r="S29" i="6"/>
  <c r="T28" i="6"/>
  <c r="S28" i="6"/>
  <c r="T27" i="6"/>
  <c r="S27" i="6"/>
  <c r="T26" i="6"/>
  <c r="S26" i="6"/>
  <c r="T25" i="6"/>
  <c r="S25" i="6"/>
  <c r="U25" i="6" s="1"/>
  <c r="V25" i="6" s="1"/>
  <c r="W25" i="6" s="1"/>
  <c r="T24" i="6"/>
  <c r="S24" i="6"/>
  <c r="T22" i="6"/>
  <c r="S22" i="6"/>
  <c r="T21" i="6"/>
  <c r="S21" i="6"/>
  <c r="T19" i="6"/>
  <c r="S19" i="6"/>
  <c r="T18" i="6"/>
  <c r="S18" i="6"/>
  <c r="T17" i="6"/>
  <c r="S17" i="6"/>
  <c r="T16" i="6"/>
  <c r="S16" i="6"/>
  <c r="T15" i="6"/>
  <c r="S15" i="6"/>
  <c r="T14" i="6"/>
  <c r="S14" i="6"/>
  <c r="T32" i="5"/>
  <c r="S32" i="5"/>
  <c r="T31" i="5"/>
  <c r="S31" i="5"/>
  <c r="T29" i="5"/>
  <c r="S29" i="5"/>
  <c r="T28" i="5"/>
  <c r="S28" i="5"/>
  <c r="T27" i="5"/>
  <c r="S27" i="5"/>
  <c r="U27" i="5" s="1"/>
  <c r="V27" i="5" s="1"/>
  <c r="W27" i="5" s="1"/>
  <c r="T26" i="5"/>
  <c r="S26" i="5"/>
  <c r="T25" i="5"/>
  <c r="S25" i="5"/>
  <c r="U25" i="5" s="1"/>
  <c r="V25" i="5" s="1"/>
  <c r="W25" i="5" s="1"/>
  <c r="T24" i="5"/>
  <c r="S24" i="5"/>
  <c r="U24" i="5" s="1"/>
  <c r="V24" i="5" s="1"/>
  <c r="W24" i="5" s="1"/>
  <c r="T22" i="5"/>
  <c r="S22" i="5"/>
  <c r="U22" i="5" s="1"/>
  <c r="V22" i="5" s="1"/>
  <c r="W22" i="5" s="1"/>
  <c r="T21" i="5"/>
  <c r="S21" i="5"/>
  <c r="T19" i="5"/>
  <c r="S19" i="5"/>
  <c r="T18" i="5"/>
  <c r="S18" i="5"/>
  <c r="T17" i="5"/>
  <c r="S17" i="5"/>
  <c r="U17" i="5" s="1"/>
  <c r="V17" i="5" s="1"/>
  <c r="W17" i="5" s="1"/>
  <c r="T16" i="5"/>
  <c r="S16" i="5"/>
  <c r="T15" i="5"/>
  <c r="S15" i="5"/>
  <c r="U15" i="5" s="1"/>
  <c r="V15" i="5" s="1"/>
  <c r="W15" i="5" s="1"/>
  <c r="T14" i="5"/>
  <c r="S14" i="5"/>
  <c r="U14" i="5" s="1"/>
  <c r="V14" i="5" s="1"/>
  <c r="W14" i="5" s="1"/>
  <c r="T32" i="4"/>
  <c r="S32" i="4"/>
  <c r="U32" i="4" s="1"/>
  <c r="V32" i="4" s="1"/>
  <c r="W32" i="4" s="1"/>
  <c r="T31" i="4"/>
  <c r="S31" i="4"/>
  <c r="T29" i="4"/>
  <c r="S29" i="4"/>
  <c r="T28" i="4"/>
  <c r="S28" i="4"/>
  <c r="T27" i="4"/>
  <c r="S27" i="4"/>
  <c r="T26" i="4"/>
  <c r="S26" i="4"/>
  <c r="T25" i="4"/>
  <c r="S25" i="4"/>
  <c r="U25" i="4" s="1"/>
  <c r="V25" i="4" s="1"/>
  <c r="W25" i="4" s="1"/>
  <c r="T24" i="4"/>
  <c r="S24" i="4"/>
  <c r="T22" i="4"/>
  <c r="S22" i="4"/>
  <c r="T21" i="4"/>
  <c r="S21" i="4"/>
  <c r="T19" i="4"/>
  <c r="S19" i="4"/>
  <c r="U19" i="4" s="1"/>
  <c r="V19" i="4" s="1"/>
  <c r="W19" i="4" s="1"/>
  <c r="T18" i="4"/>
  <c r="S18" i="4"/>
  <c r="T17" i="4"/>
  <c r="S17" i="4"/>
  <c r="T16" i="4"/>
  <c r="S16" i="4"/>
  <c r="T15" i="4"/>
  <c r="S15" i="4"/>
  <c r="T14" i="4"/>
  <c r="S14" i="4"/>
  <c r="T32" i="3"/>
  <c r="S32" i="3"/>
  <c r="T31" i="3"/>
  <c r="S31" i="3"/>
  <c r="T29" i="3"/>
  <c r="S29" i="3"/>
  <c r="T28" i="3"/>
  <c r="U28" i="3" s="1"/>
  <c r="V28" i="3" s="1"/>
  <c r="W28" i="3" s="1"/>
  <c r="S28" i="3"/>
  <c r="T27" i="3"/>
  <c r="S27" i="3"/>
  <c r="T26" i="3"/>
  <c r="S26" i="3"/>
  <c r="T25" i="3"/>
  <c r="S25" i="3"/>
  <c r="T24" i="3"/>
  <c r="S24" i="3"/>
  <c r="T22" i="3"/>
  <c r="S22" i="3"/>
  <c r="T21" i="3"/>
  <c r="S21" i="3"/>
  <c r="T19" i="3"/>
  <c r="S19" i="3"/>
  <c r="T18" i="3"/>
  <c r="S18" i="3"/>
  <c r="U18" i="3" s="1"/>
  <c r="V18" i="3" s="1"/>
  <c r="W18" i="3" s="1"/>
  <c r="T17" i="3"/>
  <c r="S17" i="3"/>
  <c r="T16" i="3"/>
  <c r="S16" i="3"/>
  <c r="T15" i="3"/>
  <c r="S15" i="3"/>
  <c r="T14" i="3"/>
  <c r="S14" i="3"/>
  <c r="U14" i="3" s="1"/>
  <c r="V14" i="3" s="1"/>
  <c r="W14" i="3" s="1"/>
  <c r="T32" i="2"/>
  <c r="S32" i="2"/>
  <c r="T31" i="2"/>
  <c r="S31" i="2"/>
  <c r="T29" i="2"/>
  <c r="S29" i="2"/>
  <c r="T28" i="2"/>
  <c r="S28" i="2"/>
  <c r="T27" i="2"/>
  <c r="S27" i="2"/>
  <c r="T26" i="2"/>
  <c r="S26" i="2"/>
  <c r="T25" i="2"/>
  <c r="S25" i="2"/>
  <c r="T24" i="2"/>
  <c r="S24" i="2"/>
  <c r="T22" i="2"/>
  <c r="S22" i="2"/>
  <c r="T21" i="2"/>
  <c r="S21" i="2"/>
  <c r="T19" i="2"/>
  <c r="S19" i="2"/>
  <c r="T18" i="2"/>
  <c r="S18" i="2"/>
  <c r="T17" i="2"/>
  <c r="S17" i="2"/>
  <c r="T16" i="2"/>
  <c r="S16" i="2"/>
  <c r="T15" i="2"/>
  <c r="S15" i="2"/>
  <c r="T14" i="2"/>
  <c r="S14" i="2"/>
  <c r="U14" i="8" l="1"/>
  <c r="V14" i="8" s="1"/>
  <c r="W14" i="8" s="1"/>
  <c r="I29" i="8"/>
  <c r="J29" i="8" s="1"/>
  <c r="K29" i="8" s="1"/>
  <c r="I17" i="8"/>
  <c r="J17" i="8" s="1"/>
  <c r="K17" i="8" s="1"/>
  <c r="U31" i="8"/>
  <c r="V31" i="8" s="1"/>
  <c r="W31" i="8" s="1"/>
  <c r="I28" i="8"/>
  <c r="J28" i="8" s="1"/>
  <c r="K28" i="8" s="1"/>
  <c r="U24" i="8"/>
  <c r="V24" i="8" s="1"/>
  <c r="W24" i="8" s="1"/>
  <c r="U28" i="8"/>
  <c r="V28" i="8" s="1"/>
  <c r="W28" i="8" s="1"/>
  <c r="U26" i="8"/>
  <c r="V26" i="8" s="1"/>
  <c r="W26" i="8" s="1"/>
  <c r="I17" i="7"/>
  <c r="J17" i="7" s="1"/>
  <c r="K17" i="7" s="1"/>
  <c r="I22" i="7"/>
  <c r="J22" i="7" s="1"/>
  <c r="K22" i="7" s="1"/>
  <c r="I27" i="7"/>
  <c r="J27" i="7" s="1"/>
  <c r="K27" i="7" s="1"/>
  <c r="I15" i="7"/>
  <c r="J15" i="7" s="1"/>
  <c r="K15" i="7" s="1"/>
  <c r="I24" i="7"/>
  <c r="J24" i="7" s="1"/>
  <c r="K24" i="7" s="1"/>
  <c r="I19" i="7"/>
  <c r="J19" i="7" s="1"/>
  <c r="K19" i="7" s="1"/>
  <c r="U21" i="7"/>
  <c r="V21" i="7" s="1"/>
  <c r="W21" i="7" s="1"/>
  <c r="U26" i="7"/>
  <c r="V26" i="7" s="1"/>
  <c r="W26" i="7" s="1"/>
  <c r="I16" i="6"/>
  <c r="J16" i="6" s="1"/>
  <c r="K16" i="6" s="1"/>
  <c r="I14" i="6"/>
  <c r="J14" i="6" s="1"/>
  <c r="K14" i="6" s="1"/>
  <c r="I17" i="6"/>
  <c r="J17" i="6" s="1"/>
  <c r="K17" i="6" s="1"/>
  <c r="I22" i="6"/>
  <c r="J22" i="6" s="1"/>
  <c r="K22" i="6" s="1"/>
  <c r="U29" i="6"/>
  <c r="V29" i="6" s="1"/>
  <c r="W29" i="6" s="1"/>
  <c r="I24" i="6"/>
  <c r="J24" i="6" s="1"/>
  <c r="K24" i="6" s="1"/>
  <c r="I32" i="6"/>
  <c r="J32" i="6" s="1"/>
  <c r="K32" i="6" s="1"/>
  <c r="I28" i="6"/>
  <c r="J28" i="6" s="1"/>
  <c r="K28" i="6" s="1"/>
  <c r="U24" i="6"/>
  <c r="V24" i="6" s="1"/>
  <c r="W24" i="6" s="1"/>
  <c r="U17" i="6"/>
  <c r="V17" i="6" s="1"/>
  <c r="W17" i="6" s="1"/>
  <c r="U22" i="6"/>
  <c r="V22" i="6" s="1"/>
  <c r="W22" i="6" s="1"/>
  <c r="I17" i="5"/>
  <c r="J17" i="5" s="1"/>
  <c r="K17" i="5" s="1"/>
  <c r="I32" i="5"/>
  <c r="J32" i="5" s="1"/>
  <c r="K32" i="5" s="1"/>
  <c r="U16" i="5"/>
  <c r="V16" i="5" s="1"/>
  <c r="W16" i="5" s="1"/>
  <c r="U26" i="5"/>
  <c r="V26" i="5" s="1"/>
  <c r="W26" i="5" s="1"/>
  <c r="I28" i="5"/>
  <c r="J28" i="5" s="1"/>
  <c r="K28" i="5" s="1"/>
  <c r="I16" i="4"/>
  <c r="J16" i="4" s="1"/>
  <c r="K16" i="4" s="1"/>
  <c r="I26" i="4"/>
  <c r="J26" i="4" s="1"/>
  <c r="K26" i="4" s="1"/>
  <c r="U17" i="4"/>
  <c r="V17" i="4" s="1"/>
  <c r="W17" i="4" s="1"/>
  <c r="I18" i="4"/>
  <c r="J18" i="4" s="1"/>
  <c r="K18" i="4" s="1"/>
  <c r="I15" i="4"/>
  <c r="J15" i="4" s="1"/>
  <c r="K15" i="4" s="1"/>
  <c r="I24" i="4"/>
  <c r="J24" i="4" s="1"/>
  <c r="K24" i="4" s="1"/>
  <c r="I32" i="4"/>
  <c r="J32" i="4" s="1"/>
  <c r="K32" i="4" s="1"/>
  <c r="U14" i="4"/>
  <c r="V14" i="4" s="1"/>
  <c r="W14" i="4" s="1"/>
  <c r="U16" i="4"/>
  <c r="V16" i="4" s="1"/>
  <c r="W16" i="4" s="1"/>
  <c r="I29" i="3"/>
  <c r="J29" i="3" s="1"/>
  <c r="K29" i="3" s="1"/>
  <c r="I26" i="3"/>
  <c r="J26" i="3" s="1"/>
  <c r="K26" i="3" s="1"/>
  <c r="I24" i="3"/>
  <c r="J24" i="3" s="1"/>
  <c r="K24" i="3" s="1"/>
  <c r="I27" i="3"/>
  <c r="J27" i="3" s="1"/>
  <c r="K27" i="3" s="1"/>
  <c r="I32" i="3"/>
  <c r="J32" i="3" s="1"/>
  <c r="K32" i="3" s="1"/>
  <c r="I28" i="3"/>
  <c r="J28" i="3" s="1"/>
  <c r="K28" i="3" s="1"/>
  <c r="U24" i="3"/>
  <c r="V24" i="3" s="1"/>
  <c r="W24" i="3" s="1"/>
  <c r="U22" i="3"/>
  <c r="V22" i="3" s="1"/>
  <c r="W22" i="3" s="1"/>
  <c r="U24" i="1"/>
  <c r="V24" i="1" s="1"/>
  <c r="W24" i="1" s="1"/>
  <c r="U27" i="1"/>
  <c r="V27" i="1" s="1"/>
  <c r="W27" i="1" s="1"/>
  <c r="I21" i="1"/>
  <c r="J21" i="1" s="1"/>
  <c r="K21" i="1" s="1"/>
  <c r="U16" i="1"/>
  <c r="V16" i="1" s="1"/>
  <c r="W16" i="1" s="1"/>
  <c r="I14" i="1"/>
  <c r="J14" i="1" s="1"/>
  <c r="K14" i="1" s="1"/>
  <c r="I17" i="1"/>
  <c r="J17" i="1" s="1"/>
  <c r="K17" i="1" s="1"/>
  <c r="I32" i="1"/>
  <c r="J32" i="1" s="1"/>
  <c r="K32" i="1" s="1"/>
  <c r="U22" i="1"/>
  <c r="V22" i="1" s="1"/>
  <c r="W22" i="1" s="1"/>
  <c r="U26" i="1"/>
  <c r="V26" i="1" s="1"/>
  <c r="W26" i="1" s="1"/>
  <c r="I24" i="2"/>
  <c r="J24" i="2" s="1"/>
  <c r="K24" i="2" s="1"/>
  <c r="I27" i="2"/>
  <c r="J27" i="2" s="1"/>
  <c r="K27" i="2" s="1"/>
  <c r="I32" i="2"/>
  <c r="J32" i="2" s="1"/>
  <c r="K32" i="2" s="1"/>
  <c r="I28" i="2"/>
  <c r="J28" i="2" s="1"/>
  <c r="K28" i="2" s="1"/>
  <c r="U17" i="2"/>
  <c r="V17" i="2" s="1"/>
  <c r="W17" i="2" s="1"/>
  <c r="U19" i="2"/>
  <c r="V19" i="2" s="1"/>
  <c r="W19" i="2" s="1"/>
  <c r="U22" i="2"/>
  <c r="V22" i="2" s="1"/>
  <c r="W22" i="2" s="1"/>
  <c r="U18" i="2"/>
  <c r="V18" i="2" s="1"/>
  <c r="W18" i="2" s="1"/>
  <c r="U21" i="2"/>
  <c r="V21" i="2" s="1"/>
  <c r="W21" i="2" s="1"/>
  <c r="U24" i="2"/>
  <c r="V24" i="2" s="1"/>
  <c r="W24" i="2" s="1"/>
  <c r="U22" i="8"/>
  <c r="V22" i="8" s="1"/>
  <c r="W22" i="8" s="1"/>
  <c r="U16" i="8"/>
  <c r="V16" i="8" s="1"/>
  <c r="W16" i="8" s="1"/>
  <c r="U32" i="8"/>
  <c r="V32" i="8" s="1"/>
  <c r="W32" i="8" s="1"/>
  <c r="U15" i="8"/>
  <c r="V15" i="8" s="1"/>
  <c r="W15" i="8" s="1"/>
  <c r="U21" i="8"/>
  <c r="V21" i="8" s="1"/>
  <c r="W21" i="8" s="1"/>
  <c r="U25" i="8"/>
  <c r="V25" i="8" s="1"/>
  <c r="W25" i="8" s="1"/>
  <c r="U17" i="8"/>
  <c r="V17" i="8" s="1"/>
  <c r="W17" i="8" s="1"/>
  <c r="U27" i="8"/>
  <c r="V27" i="8" s="1"/>
  <c r="W27" i="8" s="1"/>
  <c r="U19" i="8"/>
  <c r="V19" i="8" s="1"/>
  <c r="W19" i="8" s="1"/>
  <c r="U18" i="8"/>
  <c r="V18" i="8" s="1"/>
  <c r="W18" i="8" s="1"/>
  <c r="U29" i="8"/>
  <c r="V29" i="8" s="1"/>
  <c r="W29" i="8" s="1"/>
  <c r="U14" i="7"/>
  <c r="V14" i="7" s="1"/>
  <c r="W14" i="7" s="1"/>
  <c r="U24" i="7"/>
  <c r="V24" i="7" s="1"/>
  <c r="W24" i="7" s="1"/>
  <c r="U17" i="7"/>
  <c r="V17" i="7" s="1"/>
  <c r="W17" i="7" s="1"/>
  <c r="U22" i="7"/>
  <c r="V22" i="7" s="1"/>
  <c r="W22" i="7" s="1"/>
  <c r="U32" i="7"/>
  <c r="V32" i="7" s="1"/>
  <c r="W32" i="7" s="1"/>
  <c r="U16" i="7"/>
  <c r="V16" i="7" s="1"/>
  <c r="W16" i="7" s="1"/>
  <c r="U27" i="7"/>
  <c r="V27" i="7" s="1"/>
  <c r="W27" i="7" s="1"/>
  <c r="U15" i="7"/>
  <c r="V15" i="7" s="1"/>
  <c r="W15" i="7" s="1"/>
  <c r="U19" i="7"/>
  <c r="V19" i="7" s="1"/>
  <c r="W19" i="7" s="1"/>
  <c r="U18" i="7"/>
  <c r="V18" i="7" s="1"/>
  <c r="W18" i="7" s="1"/>
  <c r="U25" i="7"/>
  <c r="V25" i="7" s="1"/>
  <c r="W25" i="7" s="1"/>
  <c r="U29" i="7"/>
  <c r="V29" i="7" s="1"/>
  <c r="W29" i="7" s="1"/>
  <c r="U32" i="6"/>
  <c r="V32" i="6" s="1"/>
  <c r="W32" i="6" s="1"/>
  <c r="U16" i="6"/>
  <c r="V16" i="6" s="1"/>
  <c r="W16" i="6" s="1"/>
  <c r="U21" i="6"/>
  <c r="V21" i="6" s="1"/>
  <c r="W21" i="6" s="1"/>
  <c r="U27" i="6"/>
  <c r="V27" i="6" s="1"/>
  <c r="W27" i="6" s="1"/>
  <c r="U15" i="6"/>
  <c r="V15" i="6" s="1"/>
  <c r="W15" i="6" s="1"/>
  <c r="U19" i="6"/>
  <c r="V19" i="6" s="1"/>
  <c r="W19" i="6" s="1"/>
  <c r="U26" i="6"/>
  <c r="V26" i="6" s="1"/>
  <c r="W26" i="6" s="1"/>
  <c r="U14" i="6"/>
  <c r="V14" i="6" s="1"/>
  <c r="W14" i="6" s="1"/>
  <c r="U18" i="6"/>
  <c r="V18" i="6" s="1"/>
  <c r="W18" i="6" s="1"/>
  <c r="U28" i="6"/>
  <c r="V28" i="6" s="1"/>
  <c r="W28" i="6" s="1"/>
  <c r="U21" i="5"/>
  <c r="V21" i="5" s="1"/>
  <c r="W21" i="5" s="1"/>
  <c r="U31" i="5"/>
  <c r="V31" i="5" s="1"/>
  <c r="W31" i="5" s="1"/>
  <c r="U32" i="5"/>
  <c r="V32" i="5" s="1"/>
  <c r="W32" i="5" s="1"/>
  <c r="U18" i="5"/>
  <c r="V18" i="5" s="1"/>
  <c r="W18" i="5" s="1"/>
  <c r="U29" i="5"/>
  <c r="V29" i="5" s="1"/>
  <c r="W29" i="5" s="1"/>
  <c r="U28" i="5"/>
  <c r="V28" i="5" s="1"/>
  <c r="W28" i="5" s="1"/>
  <c r="U19" i="5"/>
  <c r="V19" i="5" s="1"/>
  <c r="W19" i="5" s="1"/>
  <c r="U21" i="4"/>
  <c r="V21" i="4" s="1"/>
  <c r="W21" i="4" s="1"/>
  <c r="U26" i="4"/>
  <c r="V26" i="4" s="1"/>
  <c r="W26" i="4" s="1"/>
  <c r="U18" i="4"/>
  <c r="V18" i="4" s="1"/>
  <c r="W18" i="4" s="1"/>
  <c r="U22" i="4"/>
  <c r="V22" i="4" s="1"/>
  <c r="W22" i="4" s="1"/>
  <c r="U29" i="4"/>
  <c r="V29" i="4" s="1"/>
  <c r="W29" i="4" s="1"/>
  <c r="U24" i="4"/>
  <c r="V24" i="4" s="1"/>
  <c r="W24" i="4" s="1"/>
  <c r="U28" i="4"/>
  <c r="V28" i="4" s="1"/>
  <c r="W28" i="4" s="1"/>
  <c r="U31" i="4"/>
  <c r="V31" i="4" s="1"/>
  <c r="W31" i="4" s="1"/>
  <c r="U27" i="4"/>
  <c r="V27" i="4" s="1"/>
  <c r="W27" i="4" s="1"/>
  <c r="U15" i="4"/>
  <c r="V15" i="4" s="1"/>
  <c r="W15" i="4" s="1"/>
  <c r="U25" i="3"/>
  <c r="V25" i="3" s="1"/>
  <c r="W25" i="3" s="1"/>
  <c r="U32" i="3"/>
  <c r="V32" i="3" s="1"/>
  <c r="W32" i="3" s="1"/>
  <c r="U15" i="3"/>
  <c r="V15" i="3" s="1"/>
  <c r="W15" i="3" s="1"/>
  <c r="U17" i="3"/>
  <c r="V17" i="3" s="1"/>
  <c r="W17" i="3" s="1"/>
  <c r="U27" i="3"/>
  <c r="V27" i="3" s="1"/>
  <c r="W27" i="3" s="1"/>
  <c r="U16" i="3"/>
  <c r="V16" i="3" s="1"/>
  <c r="W16" i="3" s="1"/>
  <c r="U26" i="3"/>
  <c r="V26" i="3" s="1"/>
  <c r="W26" i="3" s="1"/>
  <c r="U19" i="3"/>
  <c r="V19" i="3" s="1"/>
  <c r="W19" i="3" s="1"/>
  <c r="U21" i="3"/>
  <c r="V21" i="3" s="1"/>
  <c r="W21" i="3" s="1"/>
  <c r="U29" i="3"/>
  <c r="V29" i="3" s="1"/>
  <c r="W29" i="3" s="1"/>
  <c r="U31" i="3"/>
  <c r="V31" i="3" s="1"/>
  <c r="W31" i="3" s="1"/>
  <c r="U27" i="2"/>
  <c r="V27" i="2" s="1"/>
  <c r="W27" i="2" s="1"/>
  <c r="U14" i="2"/>
  <c r="V14" i="2" s="1"/>
  <c r="W14" i="2" s="1"/>
  <c r="U32" i="2"/>
  <c r="V32" i="2" s="1"/>
  <c r="W32" i="2" s="1"/>
  <c r="U25" i="2"/>
  <c r="V25" i="2" s="1"/>
  <c r="W25" i="2" s="1"/>
  <c r="U26" i="2"/>
  <c r="V26" i="2" s="1"/>
  <c r="W26" i="2" s="1"/>
  <c r="U16" i="2"/>
  <c r="V16" i="2" s="1"/>
  <c r="W16" i="2" s="1"/>
  <c r="U29" i="2"/>
  <c r="V29" i="2" s="1"/>
  <c r="W29" i="2" s="1"/>
  <c r="U31" i="2"/>
  <c r="V31" i="2" s="1"/>
  <c r="W31" i="2" s="1"/>
  <c r="U15" i="2"/>
  <c r="V15" i="2" s="1"/>
  <c r="W15" i="2" s="1"/>
  <c r="U28" i="2"/>
  <c r="V28" i="2" s="1"/>
  <c r="W28" i="2" s="1"/>
</calcChain>
</file>

<file path=xl/sharedStrings.xml><?xml version="1.0" encoding="utf-8"?>
<sst xmlns="http://schemas.openxmlformats.org/spreadsheetml/2006/main" count="2240" uniqueCount="98">
  <si>
    <t>Porcentaje y error estándar de los indicadores de pobreza, 2008-2020</t>
  </si>
  <si>
    <t xml:space="preserve">Indicadores </t>
  </si>
  <si>
    <t>Cambio en el porcentaje</t>
  </si>
  <si>
    <t>Error estándar de la diferencia</t>
  </si>
  <si>
    <t>Estadística        z</t>
  </si>
  <si>
    <t>Nivel de significancia para la diferencia             (dos colas)</t>
  </si>
  <si>
    <t>Conclusión*</t>
  </si>
  <si>
    <t>Porcentaje</t>
  </si>
  <si>
    <t>Error estándar (x100)</t>
  </si>
  <si>
    <r>
      <t>P</t>
    </r>
    <r>
      <rPr>
        <b/>
        <vertAlign val="subscript"/>
        <sz val="10"/>
        <color theme="0"/>
        <rFont val="Arial"/>
        <family val="2"/>
      </rPr>
      <t>2020</t>
    </r>
    <r>
      <rPr>
        <b/>
        <sz val="10"/>
        <color theme="0"/>
        <rFont val="Arial"/>
        <family val="2"/>
      </rPr>
      <t xml:space="preserve"> - P</t>
    </r>
    <r>
      <rPr>
        <b/>
        <vertAlign val="subscript"/>
        <sz val="10"/>
        <color theme="0"/>
        <rFont val="Arial"/>
        <family val="2"/>
      </rPr>
      <t>2008</t>
    </r>
  </si>
  <si>
    <t xml:space="preserve">Pobreza 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</si>
  <si>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</si>
  <si>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</si>
  <si>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</si>
  <si>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</si>
  <si>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</si>
  <si>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</si>
  <si>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</si>
  <si>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</si>
  <si>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</si>
  <si>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carencias sociales</t>
  </si>
  <si>
    <t>Rezago educativo</t>
  </si>
  <si>
    <t>Carencia por acceso a los servicios de salud</t>
  </si>
  <si>
    <t>Carencia por acceso a la seguridad social</t>
  </si>
  <si>
    <t>Carencia por calidad y espacios de la vivienda</t>
  </si>
  <si>
    <t>Carencia por acceso a los servicios básicos en la vivienda</t>
  </si>
  <si>
    <t>Carencia por acceso a la alimentación</t>
  </si>
  <si>
    <t>Bienestar</t>
  </si>
  <si>
    <t>Población con ingreso inferior a la línea de pobreza extrema por ingresos</t>
  </si>
  <si>
    <t>Población con ingreso inferior a la línea de pobreza por ingresos</t>
  </si>
  <si>
    <t>* Las pruebas de hipótesis son de dos colas, con un nivel de significancia de 0.05.</t>
  </si>
  <si>
    <t>Fuente: estimaciones del PUED-UNAM con base en la ENIGH 2016 y 2018.</t>
  </si>
  <si>
    <t>Medición de la pobreza, Morelos, serie 2008-2020</t>
  </si>
  <si>
    <t>Porcentaje y error estándar de los indicadores de pobreza, 2018-2020</t>
  </si>
  <si>
    <r>
      <t>P</t>
    </r>
    <r>
      <rPr>
        <b/>
        <vertAlign val="subscript"/>
        <sz val="10"/>
        <color theme="0"/>
        <rFont val="Arial"/>
        <family val="2"/>
      </rPr>
      <t>2020</t>
    </r>
    <r>
      <rPr>
        <b/>
        <sz val="10"/>
        <color theme="0"/>
        <rFont val="Arial"/>
        <family val="2"/>
      </rPr>
      <t xml:space="preserve"> - P</t>
    </r>
    <r>
      <rPr>
        <b/>
        <vertAlign val="subscript"/>
        <sz val="10"/>
        <color theme="0"/>
        <rFont val="Arial"/>
        <family val="2"/>
      </rPr>
      <t>2018</t>
    </r>
  </si>
  <si>
    <t>Medición de la pobreza, Nayarit, serie 2008-2020</t>
  </si>
  <si>
    <t>Medición de la pobreza, Nayarit, serie 2018-2020</t>
  </si>
  <si>
    <t>Medición de la pobreza, Nuevo León, serie 2008-2020</t>
  </si>
  <si>
    <t>Medición de la pobreza, Nuevo León, serie 2018-2020</t>
  </si>
  <si>
    <t>Medición de la pobreza, Oaxaca, serie 2008-2020</t>
  </si>
  <si>
    <t>Medición de la pobreza, Oaxaca, serie 2018-2020</t>
  </si>
  <si>
    <t>Medición de la pobreza, Puebla, serie 2008-2020</t>
  </si>
  <si>
    <t>Medición de la pobreza, Puebla, serie 2018-2020</t>
  </si>
  <si>
    <t>Medición de la pobreza, Querétaro, serie 2008-2020</t>
  </si>
  <si>
    <t>Medición de la pobreza, Querétaro, serie 2018-2020</t>
  </si>
  <si>
    <t>Medición de la pobreza, Quintana Roo, serie 2008-2020</t>
  </si>
  <si>
    <t>Medición de la pobreza, Quintana Roo, serie 2018-2020</t>
  </si>
  <si>
    <t>Medición de la pobreza, Morelos, serie 2018-2020</t>
  </si>
  <si>
    <t>Medición de la pobreza, Sinaloa, serie 2018-2020</t>
  </si>
  <si>
    <t>Medición de la pobreza, Sinaloa, serie 2008-2020</t>
  </si>
  <si>
    <t>Medición de la pobreza, Sonora, serie 2018-2020</t>
  </si>
  <si>
    <t>Medición de la pobreza, Sonora, serie 2008-2020</t>
  </si>
  <si>
    <t>Medición de la pobreza, Tabasco, serie 2018-2020</t>
  </si>
  <si>
    <t>Medición de la pobreza, Tabasco, serie 2008-2020</t>
  </si>
  <si>
    <t>Medición de la pobreza, Tamaulipas, serie 2018-2020</t>
  </si>
  <si>
    <t>Medición de la pobreza, Tamaulipas, serie 2008-2020</t>
  </si>
  <si>
    <t>Medición de la pobreza, Tlaxcala, serie 2018-2020</t>
  </si>
  <si>
    <t>Medición de la pobreza, Tlaxcala, serie 2008-2020</t>
  </si>
  <si>
    <t>Medición de la pobreza, Veracruz, serie 2018-2020</t>
  </si>
  <si>
    <t>Medición de la pobreza, Veracruz, serie 2008-2020</t>
  </si>
  <si>
    <t>Medición de la pobreza, Yucatán, serie 2018-2020</t>
  </si>
  <si>
    <t>Medición de la pobreza, Yucatán, serie 2008-2020</t>
  </si>
  <si>
    <t>Medición de la pobreza, Zacatecas serie 2018-2020</t>
  </si>
  <si>
    <t>Medición de la pobreza, Zacatecas serie 2008-2020</t>
  </si>
  <si>
    <t>Fuente: estimaciones del PUED-UNAM con base en la MCS-ENIGH 2008 y el MEC del MCS-ENIGH 2020.</t>
  </si>
  <si>
    <t>Medición de la pobreza, Michoacán, serie 2018-2020</t>
  </si>
  <si>
    <t>Medición de la pobreza, Michoacán, serie 2008-2020</t>
  </si>
  <si>
    <t>Medición de la pobreza, México, serie 2018-2020</t>
  </si>
  <si>
    <t>Medición de la pobreza, México, serie 2008-2020</t>
  </si>
  <si>
    <t>Medición de la pobreza, Jalisco, serie 2018-2020</t>
  </si>
  <si>
    <t>Medición de la pobreza, Jalisco, serie 2008-2020</t>
  </si>
  <si>
    <t>Medición de la pobreza, Hidalgo, serie 2018-2020</t>
  </si>
  <si>
    <t>Medición de la pobreza, Hidalgo, serie 2008-2020</t>
  </si>
  <si>
    <t>Medición de la pobreza, Guerrero, serie 2018-2020</t>
  </si>
  <si>
    <t>Medición de la pobreza, Guerrero, serie 2008-2020</t>
  </si>
  <si>
    <t>Medición de la pobreza, Guanajuato, serie 2018-2020</t>
  </si>
  <si>
    <t>Medición de la pobreza, Guanajuato, serie 2008-2020</t>
  </si>
  <si>
    <t>Medición de la pobreza, Durango, serie 2018-2020</t>
  </si>
  <si>
    <t>Medición de la pobreza, Durango, serie 2008-2020</t>
  </si>
  <si>
    <t>Fuente: estimaciones del PUED-UNAM con base en el MEC del MCS-ENIGH 2018 y 2020.</t>
  </si>
  <si>
    <t>Medición de la pobreza, Ciudad de México, serie 2018-2020</t>
  </si>
  <si>
    <t>Medición de la pobreza, Ciudad de México, serie 2008-2020</t>
  </si>
  <si>
    <t>Medición de la pobreza, Chihuahua, serie 2018-2020</t>
  </si>
  <si>
    <t>Medición de la pobreza, Chihuahua, serie 2008-2020</t>
  </si>
  <si>
    <t>Medición de la pobreza, Chiapas, serie 2018-2020</t>
  </si>
  <si>
    <t>Medición de la pobreza, Chiapas, serie 2008-2020</t>
  </si>
  <si>
    <t>Medición de la pobreza, Colima, serie 2018-2020</t>
  </si>
  <si>
    <t>Medición de la pobreza, Colima, serie 2008-2020</t>
  </si>
  <si>
    <t>Medición de la pobreza, Coahuila, serie 2018-2020</t>
  </si>
  <si>
    <t>Medición de la pobreza, Coahuila, serie 2008-2020</t>
  </si>
  <si>
    <t>Medición de la pobreza, Campeche, serie 2018-2020</t>
  </si>
  <si>
    <t>Medición de la pobreza, Campeche, serie 2008-2020</t>
  </si>
  <si>
    <t>Medición de la pobreza, Baja California Sur, serie 2018-2020</t>
  </si>
  <si>
    <t>Medición de la pobreza, Baja California Sur, serie 2008-2020</t>
  </si>
  <si>
    <t>Medición de la pobreza, Baja California, serie 2018-2020</t>
  </si>
  <si>
    <t>Medición de la pobreza, Baja California, serie 2008-2020</t>
  </si>
  <si>
    <t>Medición de la pobreza, Aguascalientes, serie 2018-2020</t>
  </si>
  <si>
    <t>Medición de la pobreza, Aguascalientes, serie 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</si>
</sst>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1" fillId="0" borderId="0"/>
  </cellStyleXfs>
  <cellXfs count="68">
    <xf numFmtId="0" fontId="0" fillId="0" borderId="0" xfId="0"/>
    <xf numFmtId="0" fontId="0" fillId="2" borderId="0" xfId="0" applyFill="1"/>
    <xf numFmtId="0" fontId="3" fillId="4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3" fillId="4" borderId="3" xfId="0" applyNumberFormat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7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justify" wrapText="1" indent="2"/>
    </xf>
    <xf numFmtId="165" fontId="5" fillId="2" borderId="0" xfId="0" applyNumberFormat="1" applyFont="1" applyFill="1" applyAlignment="1">
      <alignment horizontal="right" indent="1"/>
    </xf>
    <xf numFmtId="166" fontId="5" fillId="2" borderId="0" xfId="0" applyNumberFormat="1" applyFont="1" applyFill="1" applyAlignment="1">
      <alignment horizontal="right" indent="1"/>
    </xf>
    <xf numFmtId="0" fontId="5" fillId="2" borderId="0" xfId="2" applyFont="1" applyFill="1" applyAlignment="1">
      <alignment horizontal="left" indent="2"/>
    </xf>
    <xf numFmtId="0" fontId="7" fillId="2" borderId="0" xfId="0" applyFont="1" applyFill="1" applyAlignment="1">
      <alignment horizontal="justify"/>
    </xf>
    <xf numFmtId="0" fontId="5" fillId="2" borderId="0" xfId="0" applyFont="1" applyFill="1" applyAlignment="1">
      <alignment horizontal="left" indent="2"/>
    </xf>
    <xf numFmtId="0" fontId="7" fillId="2" borderId="0" xfId="0" applyFont="1" applyFill="1"/>
    <xf numFmtId="0" fontId="5" fillId="2" borderId="0" xfId="0" applyFont="1" applyFill="1" applyAlignment="1">
      <alignment horizontal="left" vertical="center" wrapText="1" indent="2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horizontal="right" indent="1"/>
    </xf>
    <xf numFmtId="0" fontId="5" fillId="2" borderId="1" xfId="2" applyFont="1" applyFill="1" applyBorder="1" applyAlignment="1">
      <alignment horizontal="left" indent="2"/>
    </xf>
    <xf numFmtId="0" fontId="1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2" borderId="0" xfId="0" applyFont="1" applyFill="1"/>
    <xf numFmtId="164" fontId="5" fillId="2" borderId="1" xfId="1" applyNumberFormat="1" applyFill="1" applyBorder="1" applyAlignment="1">
      <alignment horizontal="right" indent="1"/>
    </xf>
    <xf numFmtId="165" fontId="5" fillId="0" borderId="0" xfId="0" applyNumberFormat="1" applyFont="1" applyFill="1" applyAlignment="1">
      <alignment horizontal="right" indent="1"/>
    </xf>
    <xf numFmtId="165" fontId="5" fillId="2" borderId="1" xfId="0" applyNumberFormat="1" applyFont="1" applyFill="1" applyBorder="1" applyAlignment="1">
      <alignment horizontal="right" indent="1"/>
    </xf>
    <xf numFmtId="4" fontId="5" fillId="2" borderId="1" xfId="0" applyNumberFormat="1" applyFont="1" applyFill="1" applyBorder="1" applyAlignment="1">
      <alignment horizontal="right" indent="1"/>
    </xf>
    <xf numFmtId="165" fontId="5" fillId="2" borderId="1" xfId="0" applyNumberFormat="1" applyFont="1" applyFill="1" applyBorder="1" applyAlignment="1">
      <alignment horizontal="center"/>
    </xf>
    <xf numFmtId="164" fontId="5" fillId="2" borderId="1" xfId="1" applyNumberFormat="1" applyFill="1" applyBorder="1" applyAlignment="1">
      <alignment horizontal="center"/>
    </xf>
    <xf numFmtId="4" fontId="5" fillId="2" borderId="0" xfId="0" applyNumberFormat="1" applyFont="1" applyFill="1" applyAlignment="1">
      <alignment horizontal="right" indent="1"/>
    </xf>
    <xf numFmtId="165" fontId="5" fillId="2" borderId="0" xfId="0" applyNumberFormat="1" applyFont="1" applyFill="1" applyAlignment="1">
      <alignment horizontal="center"/>
    </xf>
    <xf numFmtId="164" fontId="5" fillId="2" borderId="0" xfId="1" applyNumberFormat="1" applyFill="1" applyAlignment="1">
      <alignment horizontal="center"/>
    </xf>
    <xf numFmtId="164" fontId="5" fillId="0" borderId="0" xfId="1" applyNumberFormat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5" fillId="2" borderId="1" xfId="1" applyNumberForma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5" fillId="2" borderId="0" xfId="1" applyNumberFormat="1" applyFill="1" applyAlignment="1">
      <alignment horizontal="right" indent="1"/>
    </xf>
    <xf numFmtId="164" fontId="5" fillId="2" borderId="1" xfId="1" applyNumberFormat="1" applyFill="1" applyBorder="1" applyAlignment="1">
      <alignment horizontal="center" vertical="center" wrapText="1"/>
    </xf>
    <xf numFmtId="164" fontId="5" fillId="2" borderId="1" xfId="1" applyNumberFormat="1" applyFill="1" applyBorder="1" applyAlignment="1">
      <alignment horizontal="center" vertical="center"/>
    </xf>
    <xf numFmtId="164" fontId="5" fillId="2" borderId="0" xfId="1" applyNumberForma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14" fillId="2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5" fillId="2" borderId="1" xfId="1" applyNumberFormat="1" applyFill="1" applyBorder="1" applyAlignment="1">
      <alignment horizontal="right"/>
    </xf>
    <xf numFmtId="164" fontId="5" fillId="2" borderId="0" xfId="1" applyNumberFormat="1" applyFill="1" applyAlignment="1">
      <alignment horizontal="right"/>
    </xf>
    <xf numFmtId="0" fontId="0" fillId="2" borderId="0" xfId="0" applyFill="1" applyAlignment="1">
      <alignment horizontal="right"/>
    </xf>
    <xf numFmtId="164" fontId="5" fillId="2" borderId="1" xfId="1" applyNumberFormat="1" applyFill="1" applyBorder="1"/>
    <xf numFmtId="164" fontId="5" fillId="2" borderId="0" xfId="1" applyNumberFormat="1" applyFill="1"/>
    <xf numFmtId="164" fontId="0" fillId="2" borderId="0" xfId="0" applyNumberFormat="1" applyFill="1"/>
  </cellXfs>
  <cellStyles count="4">
    <cellStyle name="Normal" xfId="0" builtinId="0"/>
    <cellStyle name="Normal 2" xfId="1" xr:uid="{59B5A0B8-DDCE-45DA-83BB-EF26096A5F69}"/>
    <cellStyle name="Normal 4" xfId="3" xr:uid="{E3CA2150-746E-428C-8BB8-9190AA076B53}"/>
    <cellStyle name="Normal 6" xfId="2" xr:uid="{C2CFFDF8-4257-4CDC-90CB-AD01D6313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37B3AFD4-7BDB-419D-86FA-A64BD05F3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AB1331EF-D6C2-46B7-B54A-EBD7428D2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56029</xdr:colOff>
      <xdr:row>0</xdr:row>
      <xdr:rowOff>107576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5893934C-7975-432E-AD26-0E1A296BD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88" y="107576"/>
          <a:ext cx="2762250" cy="120361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142875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A56DDACE-D8D5-462F-B355-299781779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42875"/>
          <a:ext cx="2762250" cy="120361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142875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BF634E97-9062-4B36-A350-8F2395956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42875"/>
          <a:ext cx="2762250" cy="120361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180975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75082A71-3BF7-4D94-99C5-B1C9F2CE9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80975"/>
          <a:ext cx="2762250" cy="1203614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42334</xdr:colOff>
      <xdr:row>0</xdr:row>
      <xdr:rowOff>173567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31C01FE1-6EED-466D-8A34-BF68FB745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173567"/>
          <a:ext cx="2762250" cy="120361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33618</xdr:colOff>
      <xdr:row>0</xdr:row>
      <xdr:rowOff>163606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DDFF09A-6552-49EB-B731-21ADB1ACD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618" y="163606"/>
          <a:ext cx="2762250" cy="1203614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F7EA27F8-A601-4AF2-B236-BCCAAB70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9E8420D5-E0D2-463F-8846-5C1476B21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FE3DFCA-8E47-4EDA-9508-5F67828BF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79139B0E-5958-4CD8-BA06-B401A9843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7EA49617-5D43-405B-A2F9-20CE55891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888EE1CC-740A-4195-AE31-D70D85A70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F0FB8918-B9FE-4E7C-A91E-573CF4297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F998D12B-F908-478D-A795-055D7E176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C219838F-8857-4B51-8ED6-92611B279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152400</xdr:rowOff>
    </xdr:from>
    <xdr:ext cx="2762250" cy="1203614"/>
    <xdr:pic>
      <xdr:nvPicPr>
        <xdr:cNvPr id="3" name="Imagen 2">
          <a:extLst>
            <a:ext uri="{FF2B5EF4-FFF2-40B4-BE49-F238E27FC236}">
              <a16:creationId xmlns:a16="http://schemas.microsoft.com/office/drawing/2014/main" id="{2E4C44FC-9A27-41C8-9866-D34D5D2B6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D073C70F-22F8-4F8E-840A-3C0B9C685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0497B8DB-7052-4FA9-A7D5-BCAE6C281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7E31E5F2-0B71-4969-B13A-5D8F1CB88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CBDF0DF0-0A1B-4A24-A277-224216A8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507DFF5-3AF8-416D-9D77-F23E4A061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4D9CF0A6-D12A-4CF4-8BCD-D7033DB56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D3033923-3B9F-4D66-BE2F-743D2EA61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61DD51B9-5167-4284-8B44-1FBCF5E37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0</xdr:row>
      <xdr:rowOff>171450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0CC4B81D-6B41-485C-B494-ED191C1A8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1450"/>
          <a:ext cx="2762250" cy="120361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9B4297B-6965-4BFD-9D0C-131F8A833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FE29D45B-9B38-47F2-8DF1-3D73E0627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218B68A-9B5C-4746-973C-BF56684ED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98DB980A-5CC1-498A-B63D-73D0973A5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D3B36EFF-345A-4EC7-BD03-DA34F8C0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709084</xdr:colOff>
      <xdr:row>0</xdr:row>
      <xdr:rowOff>162983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50689CF6-A92D-40EB-9C96-E5F8B91DF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4" y="162983"/>
          <a:ext cx="2762250" cy="12036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1256-9736-49F5-9DC9-57D094BC81C8}">
  <dimension ref="A4:Y34"/>
  <sheetViews>
    <sheetView tabSelected="1" zoomScaleNormal="100" workbookViewId="0">
      <selection activeCell="I14" sqref="I14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97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96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37.636160000000004</v>
      </c>
      <c r="E14" s="46">
        <v>1.9689999999999999</v>
      </c>
      <c r="F14" s="46">
        <v>27.534680000000002</v>
      </c>
      <c r="G14" s="46">
        <v>1.10151</v>
      </c>
      <c r="H14" s="46"/>
      <c r="I14" s="46">
        <f>F14-D14</f>
        <v>-10.101480000000002</v>
      </c>
      <c r="J14" s="15">
        <f>SQRT(G14*G14+E14*E14)</f>
        <v>2.2561660577404314</v>
      </c>
      <c r="K14" s="15">
        <f>I14/J14</f>
        <v>-4.4772768233720868</v>
      </c>
      <c r="L14" s="15">
        <f>IF(K14&gt;0,(1-NORMSDIST(K14)),(NORMSDIST(K14)))</f>
        <v>3.780059647861548E-6</v>
      </c>
      <c r="M14" s="16" t="str">
        <f>IF(L14&lt;0.025,"Significativa","No significativa")</f>
        <v>Significativa</v>
      </c>
      <c r="O14" s="13" t="s">
        <v>11</v>
      </c>
      <c r="P14" s="46">
        <v>26.182960000000001</v>
      </c>
      <c r="Q14" s="46">
        <v>1.2231799999999999</v>
      </c>
      <c r="R14" s="46">
        <v>27.534680000000002</v>
      </c>
      <c r="S14" s="46">
        <v>1.10151</v>
      </c>
      <c r="T14" s="4"/>
      <c r="U14" s="14">
        <f>R14-P14</f>
        <v>1.3517200000000003</v>
      </c>
      <c r="V14" s="15">
        <f>SQRT(S14*S14+Q14*Q14)</f>
        <v>1.6460539458049361</v>
      </c>
      <c r="W14" s="15">
        <f>U14/V14</f>
        <v>0.8211881533074521</v>
      </c>
      <c r="X14" s="15">
        <f>IF(W14&gt;0,(1-NORMSDIST(W14)),(NORMSDIST(W14)))</f>
        <v>0.20576955169894628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46">
        <v>33.458060000000003</v>
      </c>
      <c r="E15" s="46">
        <v>1.8019799999999999</v>
      </c>
      <c r="F15" s="46">
        <v>24.85285</v>
      </c>
      <c r="G15" s="46">
        <v>1.0048299999999999</v>
      </c>
      <c r="H15" s="46"/>
      <c r="I15" s="46">
        <f>F15-D15</f>
        <v>-8.6052100000000031</v>
      </c>
      <c r="J15" s="15">
        <f>SQRT(G15*G15+E15*E15)</f>
        <v>2.0632050914293516</v>
      </c>
      <c r="K15" s="15">
        <f>I15/J15</f>
        <v>-4.1707971911015731</v>
      </c>
      <c r="L15" s="15">
        <f>IF(K15&gt;0,(1-NORMSDIST(K15)),(NORMSDIST(K15)))</f>
        <v>1.5176795725696702E-5</v>
      </c>
      <c r="M15" s="16" t="str">
        <f>IF(L15&lt;0.025,"Significativa","No significativa")</f>
        <v>Significativa</v>
      </c>
      <c r="O15" s="13" t="s">
        <v>12</v>
      </c>
      <c r="P15" s="46">
        <v>25.01737</v>
      </c>
      <c r="Q15" s="46">
        <v>1.1743699999999999</v>
      </c>
      <c r="R15" s="46">
        <v>24.85285</v>
      </c>
      <c r="S15" s="46">
        <v>1.0048299999999999</v>
      </c>
      <c r="T15" s="4"/>
      <c r="U15" s="14">
        <f>R15-P15</f>
        <v>-0.16451999999999956</v>
      </c>
      <c r="V15" s="15">
        <f>SQRT(S15*S15+Q15*Q15)</f>
        <v>1.5455834580507128</v>
      </c>
      <c r="W15" s="15">
        <f>U15/V15</f>
        <v>-0.10644523862043134</v>
      </c>
      <c r="X15" s="15">
        <f>IF(W15&gt;0,(1-NORMSDIST(W15)),(NORMSDIST(W15)))</f>
        <v>0.45761455085350577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46">
        <v>4.1780999999999997</v>
      </c>
      <c r="E16" s="46">
        <v>0.63286999999999993</v>
      </c>
      <c r="F16" s="46">
        <v>2.6818300000000002</v>
      </c>
      <c r="G16" s="46">
        <v>0.36332000000000003</v>
      </c>
      <c r="H16" s="46"/>
      <c r="I16" s="46">
        <f>F16-D16</f>
        <v>-1.4962699999999995</v>
      </c>
      <c r="J16" s="15">
        <f>SQRT(G16*G16+E16*E16)</f>
        <v>0.72974369425161867</v>
      </c>
      <c r="K16" s="15">
        <f>I16/J16</f>
        <v>-2.0504048363644776</v>
      </c>
      <c r="L16" s="15">
        <f>IF(K16&gt;0,(1-NORMSDIST(K16)),(NORMSDIST(K16)))</f>
        <v>2.016247081712063E-2</v>
      </c>
      <c r="M16" s="16" t="str">
        <f>IF(L16&lt;0.025,"Significativa","No significativa")</f>
        <v>Significativa</v>
      </c>
      <c r="O16" s="13" t="s">
        <v>13</v>
      </c>
      <c r="P16" s="46">
        <v>1.1655900000000001</v>
      </c>
      <c r="Q16" s="46">
        <v>0.26023000000000002</v>
      </c>
      <c r="R16" s="46">
        <v>2.6818300000000002</v>
      </c>
      <c r="S16" s="46">
        <v>0.36332000000000003</v>
      </c>
      <c r="T16" s="4"/>
      <c r="U16" s="14">
        <f>R16-P16</f>
        <v>1.51624</v>
      </c>
      <c r="V16" s="15">
        <f>SQRT(S16*S16+Q16*Q16)</f>
        <v>0.44690163940178157</v>
      </c>
      <c r="W16" s="15">
        <f>U16/V16</f>
        <v>3.3927823626461184</v>
      </c>
      <c r="X16" s="15">
        <f>IF(W16&gt;0,(1-NORMSDIST(W16)),(NORMSDIST(W16)))</f>
        <v>3.4593292196094527E-4</v>
      </c>
      <c r="Y16" s="16" t="str">
        <f>IF(X16&lt;0.025,"Significativa","No significativa")</f>
        <v>Significativa</v>
      </c>
    </row>
    <row r="17" spans="3:25" ht="15" customHeight="1" x14ac:dyDescent="0.25">
      <c r="C17" s="13" t="s">
        <v>14</v>
      </c>
      <c r="D17" s="46">
        <v>30.751849999999997</v>
      </c>
      <c r="E17" s="46">
        <v>1.8222800000000001</v>
      </c>
      <c r="F17" s="46">
        <v>29.716589999999997</v>
      </c>
      <c r="G17" s="46">
        <v>0.85775000000000001</v>
      </c>
      <c r="H17" s="46"/>
      <c r="I17" s="46">
        <f>F17-D17</f>
        <v>-1.035260000000001</v>
      </c>
      <c r="J17" s="15">
        <f>SQRT(G17*G17+E17*E17)</f>
        <v>2.0140604412231529</v>
      </c>
      <c r="K17" s="15">
        <f>I17/J17</f>
        <v>-0.51401635164994375</v>
      </c>
      <c r="L17" s="15">
        <f>IF(K17&gt;0,(1-NORMSDIST(K17)),(NORMSDIST(K17)))</f>
        <v>0.30362027922587431</v>
      </c>
      <c r="M17" s="16" t="str">
        <f>IF(L17&lt;0.025,"Significativa","No significativa")</f>
        <v>No significativa</v>
      </c>
      <c r="O17" s="13" t="s">
        <v>14</v>
      </c>
      <c r="P17" s="46">
        <v>29.626609999999999</v>
      </c>
      <c r="Q17" s="46">
        <v>1.0024500000000001</v>
      </c>
      <c r="R17" s="46">
        <v>29.716589999999997</v>
      </c>
      <c r="S17" s="46">
        <v>0.85775000000000001</v>
      </c>
      <c r="T17" s="4"/>
      <c r="U17" s="14">
        <f>R17-P17</f>
        <v>8.9979999999997062E-2</v>
      </c>
      <c r="V17" s="15">
        <f>SQRT(S17*S17+Q17*Q17)</f>
        <v>1.3193335685110117</v>
      </c>
      <c r="W17" s="15">
        <f>U17/V17</f>
        <v>6.8201099515377075E-2</v>
      </c>
      <c r="X17" s="15">
        <f>IF(W17&gt;0,(1-NORMSDIST(W17)),(NORMSDIST(W17)))</f>
        <v>0.47281277586233661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46">
        <v>7.6943800000000007</v>
      </c>
      <c r="E18" s="46">
        <v>0.66335</v>
      </c>
      <c r="F18" s="46">
        <v>9.3740900000000007</v>
      </c>
      <c r="G18" s="46">
        <v>0.58492999999999995</v>
      </c>
      <c r="H18" s="46"/>
      <c r="I18" s="46">
        <f>F18-D18</f>
        <v>1.67971</v>
      </c>
      <c r="J18" s="15">
        <f>SQRT(G18*G18+E18*E18)</f>
        <v>0.88440733115459869</v>
      </c>
      <c r="K18" s="15">
        <f>I18/J18</f>
        <v>1.8992492947871986</v>
      </c>
      <c r="L18" s="15">
        <f>IF(K18&gt;0,(1-NORMSDIST(K18)),(NORMSDIST(K18)))</f>
        <v>2.8765853091693105E-2</v>
      </c>
      <c r="M18" s="16" t="str">
        <f>IF(L18&lt;0.025,"Significativa","No significativa")</f>
        <v>No significativa</v>
      </c>
      <c r="O18" s="13" t="s">
        <v>15</v>
      </c>
      <c r="P18" s="46">
        <v>10.281120000000001</v>
      </c>
      <c r="Q18" s="46">
        <v>0.67754999999999999</v>
      </c>
      <c r="R18" s="46">
        <v>9.3740900000000007</v>
      </c>
      <c r="S18" s="46">
        <v>0.58492999999999995</v>
      </c>
      <c r="T18" s="4"/>
      <c r="U18" s="14">
        <f>R18-P18</f>
        <v>-0.90703000000000067</v>
      </c>
      <c r="V18" s="15">
        <f>SQRT(S18*S18+Q18*Q18)</f>
        <v>0.89510731613589212</v>
      </c>
      <c r="W18" s="15">
        <f>U18/V18</f>
        <v>-1.0133198373526628</v>
      </c>
      <c r="X18" s="15">
        <f>IF(W18&gt;0,(1-NORMSDIST(W18)),(NORMSDIST(W18)))</f>
        <v>0.15545370759286492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23.91761</v>
      </c>
      <c r="E19" s="46">
        <v>1.2121899999999999</v>
      </c>
      <c r="F19" s="46">
        <v>33.374650000000003</v>
      </c>
      <c r="G19" s="46">
        <v>1.0408499999999998</v>
      </c>
      <c r="H19" s="46"/>
      <c r="I19" s="46">
        <f>F19-D19</f>
        <v>9.4570400000000028</v>
      </c>
      <c r="J19" s="15">
        <f>SQRT(G19*G19+E19*E19)</f>
        <v>1.597740066030767</v>
      </c>
      <c r="K19" s="15">
        <f>I19/J19</f>
        <v>5.9190103578574789</v>
      </c>
      <c r="L19" s="15">
        <f>IF(K19&gt;0,(1-NORMSDIST(K19)),(NORMSDIST(K19)))</f>
        <v>1.6194228180665959E-9</v>
      </c>
      <c r="M19" s="16" t="str">
        <f>IF(L19&lt;0.025,"Significativa","No significativa")</f>
        <v>Significativa</v>
      </c>
      <c r="O19" s="13" t="s">
        <v>16</v>
      </c>
      <c r="P19" s="46">
        <v>33.909309999999998</v>
      </c>
      <c r="Q19" s="46">
        <v>1.2178100000000001</v>
      </c>
      <c r="R19" s="46">
        <v>33.374650000000003</v>
      </c>
      <c r="S19" s="46">
        <v>1.0408499999999998</v>
      </c>
      <c r="T19" s="4"/>
      <c r="U19" s="14">
        <f>R19-P19</f>
        <v>-0.53465999999999525</v>
      </c>
      <c r="V19" s="15">
        <f>SQRT(S19*S19+Q19*Q19)</f>
        <v>1.6020080894302624</v>
      </c>
      <c r="W19" s="15">
        <f>U19/V19</f>
        <v>-0.33374363308623589</v>
      </c>
      <c r="X19" s="15">
        <f>IF(W19&gt;0,(1-NORMSDIST(W19)),(NORMSDIST(W19)))</f>
        <v>0.36928651052903866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J20" s="15"/>
      <c r="K20" s="15"/>
      <c r="L20" s="15"/>
      <c r="M20" s="16"/>
      <c r="O20" s="17" t="s">
        <v>17</v>
      </c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68.388009999999994</v>
      </c>
      <c r="E21" s="46">
        <v>1.43496</v>
      </c>
      <c r="F21" s="46">
        <v>57.251269999999998</v>
      </c>
      <c r="G21" s="46">
        <v>1.1010300000000002</v>
      </c>
      <c r="H21" s="46"/>
      <c r="I21" s="46">
        <f>F21-D21</f>
        <v>-11.136739999999996</v>
      </c>
      <c r="J21" s="15">
        <f>SQRT(G21*G21+E21*E21)</f>
        <v>1.808694905864447</v>
      </c>
      <c r="K21" s="15">
        <f>I21/J21</f>
        <v>-6.1573347521965331</v>
      </c>
      <c r="L21" s="15">
        <f>IF(K21&gt;0,(1-NORMSDIST(K21)),(NORMSDIST(K21)))</f>
        <v>3.698968474716411E-10</v>
      </c>
      <c r="M21" s="16" t="str">
        <f>IF(L21&lt;0.025,"Significativa","No significativa")</f>
        <v>Significativa</v>
      </c>
      <c r="O21" s="18" t="s">
        <v>18</v>
      </c>
      <c r="P21" s="46">
        <v>55.809569999999994</v>
      </c>
      <c r="Q21" s="46">
        <v>1.26837</v>
      </c>
      <c r="R21" s="46">
        <v>57.251269999999998</v>
      </c>
      <c r="S21" s="46">
        <v>1.1010300000000002</v>
      </c>
      <c r="T21" s="4"/>
      <c r="U21" s="14">
        <f>R21-P21</f>
        <v>1.4417000000000044</v>
      </c>
      <c r="V21" s="15">
        <f>SQRT(S21*S21+Q21*Q21)</f>
        <v>1.6795920688667234</v>
      </c>
      <c r="W21" s="15">
        <f>U21/V21</f>
        <v>0.85836318634962794</v>
      </c>
      <c r="X21" s="15">
        <f>IF(W21&gt;0,(1-NORMSDIST(W21)),(NORMSDIST(W21)))</f>
        <v>0.19534597443121182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14.580850000000002</v>
      </c>
      <c r="E22" s="46">
        <v>1.2127000000000001</v>
      </c>
      <c r="F22" s="46">
        <v>9.1375700000000002</v>
      </c>
      <c r="G22" s="46">
        <v>0.64173000000000002</v>
      </c>
      <c r="H22" s="46"/>
      <c r="I22" s="46">
        <f>F22-D22</f>
        <v>-5.4432800000000015</v>
      </c>
      <c r="J22" s="15">
        <f>SQRT(G22*G22+E22*E22)</f>
        <v>1.3720272165303429</v>
      </c>
      <c r="K22" s="15">
        <f>I22/J22</f>
        <v>-3.9673265474756865</v>
      </c>
      <c r="L22" s="15">
        <f>IF(K22&gt;0,(1-NORMSDIST(K22)),(NORMSDIST(K22)))</f>
        <v>3.6341687043729339E-5</v>
      </c>
      <c r="M22" s="16" t="str">
        <f>IF(L22&lt;0.025,"Significativa","No significativa")</f>
        <v>Significativa</v>
      </c>
      <c r="O22" s="18" t="s">
        <v>19</v>
      </c>
      <c r="P22" s="46">
        <v>5.7978399999999999</v>
      </c>
      <c r="Q22" s="46">
        <v>0.56625000000000003</v>
      </c>
      <c r="R22" s="46">
        <v>9.1375700000000002</v>
      </c>
      <c r="S22" s="46">
        <v>0.64173000000000002</v>
      </c>
      <c r="T22" s="4"/>
      <c r="U22" s="14">
        <f>R22-P22</f>
        <v>3.3397300000000003</v>
      </c>
      <c r="V22" s="15">
        <f>SQRT(S22*S22+Q22*Q22)</f>
        <v>0.85583669902616355</v>
      </c>
      <c r="W22" s="15">
        <f>U22/V22</f>
        <v>3.902298188194314</v>
      </c>
      <c r="X22" s="15">
        <f>IF(W22&gt;0,(1-NORMSDIST(W22)),(NORMSDIST(W22)))</f>
        <v>4.76418366619491E-5</v>
      </c>
      <c r="Y22" s="16" t="str">
        <f>IF(X22&lt;0.025,"Significativa","No significativa")</f>
        <v>Significativa</v>
      </c>
    </row>
    <row r="23" spans="3:25" x14ac:dyDescent="0.25">
      <c r="C23" s="19" t="s">
        <v>20</v>
      </c>
      <c r="J23" s="15"/>
      <c r="K23" s="15"/>
      <c r="L23" s="15"/>
      <c r="M23" s="16"/>
      <c r="O23" s="19" t="s">
        <v>20</v>
      </c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18.07535</v>
      </c>
      <c r="E24" s="46">
        <v>0.71431999999999995</v>
      </c>
      <c r="F24" s="46">
        <v>12.32338</v>
      </c>
      <c r="G24" s="46">
        <v>0.53658000000000006</v>
      </c>
      <c r="H24" s="46"/>
      <c r="I24" s="46">
        <f>F24-D24</f>
        <v>-5.75197</v>
      </c>
      <c r="J24" s="15">
        <f>SQRT(G24*G24+E24*E24)</f>
        <v>0.8934042527322108</v>
      </c>
      <c r="K24" s="15">
        <f>I24/J24</f>
        <v>-6.4382612713218155</v>
      </c>
      <c r="L24" s="15">
        <f>IF(K24&gt;0,(1-NORMSDIST(K24)),(NORMSDIST(K24)))</f>
        <v>6.0424924005103067E-11</v>
      </c>
      <c r="M24" s="16" t="str">
        <f>IF(L24&lt;0.025,"Significativa","No significativa")</f>
        <v>Significativa</v>
      </c>
      <c r="O24" s="20" t="s">
        <v>21</v>
      </c>
      <c r="P24" s="46">
        <v>13.06962</v>
      </c>
      <c r="Q24" s="46">
        <v>0.59068999999999994</v>
      </c>
      <c r="R24" s="46">
        <v>12.32338</v>
      </c>
      <c r="S24" s="46">
        <v>0.53658000000000006</v>
      </c>
      <c r="T24" s="4"/>
      <c r="U24" s="14">
        <f>R24-P24</f>
        <v>-0.74624000000000024</v>
      </c>
      <c r="V24" s="15">
        <f>SQRT(S24*S24+Q24*Q24)</f>
        <v>0.79801802767857322</v>
      </c>
      <c r="W24" s="15">
        <f>U24/V24</f>
        <v>-0.93511671931874174</v>
      </c>
      <c r="X24" s="15">
        <f>IF(W24&gt;0,(1-NORMSDIST(W24)),(NORMSDIST(W24)))</f>
        <v>0.17486407554916336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23.194590000000002</v>
      </c>
      <c r="E25" s="46">
        <v>1.1109500000000001</v>
      </c>
      <c r="F25" s="46">
        <v>20.200209999999998</v>
      </c>
      <c r="G25" s="46">
        <v>0.78183000000000002</v>
      </c>
      <c r="H25" s="46"/>
      <c r="I25" s="46">
        <f>F25-D25</f>
        <v>-2.9943800000000032</v>
      </c>
      <c r="J25" s="15">
        <f>SQRT(G25*G25+E25*E25)</f>
        <v>1.3584800518962361</v>
      </c>
      <c r="K25" s="15">
        <f>I25/J25</f>
        <v>-2.2042134485672382</v>
      </c>
      <c r="L25" s="15">
        <f>IF(K25&gt;0,(1-NORMSDIST(K25)),(NORMSDIST(K25)))</f>
        <v>1.3754668208998549E-2</v>
      </c>
      <c r="M25" s="16" t="str">
        <f>IF(L25&lt;0.025,"Significativa","No significativa")</f>
        <v>Significativa</v>
      </c>
      <c r="O25" s="18" t="s">
        <v>22</v>
      </c>
      <c r="P25" s="46">
        <v>11.40433</v>
      </c>
      <c r="Q25" s="46">
        <v>0.57413000000000003</v>
      </c>
      <c r="R25" s="46">
        <v>20.200209999999998</v>
      </c>
      <c r="S25" s="46">
        <v>0.78183000000000002</v>
      </c>
      <c r="T25" s="4"/>
      <c r="U25" s="14">
        <f>R25-P25</f>
        <v>8.7958799999999986</v>
      </c>
      <c r="V25" s="15">
        <f>SQRT(S25*S25+Q25*Q25)</f>
        <v>0.96999144625094513</v>
      </c>
      <c r="W25" s="15">
        <f>U25/V25</f>
        <v>9.0679974900772766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55.320639999999997</v>
      </c>
      <c r="E26" s="46">
        <v>1.6091600000000001</v>
      </c>
      <c r="F26" s="46">
        <v>42.725210000000004</v>
      </c>
      <c r="G26" s="46">
        <v>1.08023</v>
      </c>
      <c r="H26" s="46"/>
      <c r="I26" s="46">
        <f>F26-D26</f>
        <v>-12.595429999999993</v>
      </c>
      <c r="J26" s="15">
        <f>SQRT(G26*G26+E26*E26)</f>
        <v>1.9381157753085858</v>
      </c>
      <c r="K26" s="15">
        <f>I26/J26</f>
        <v>-6.4988016507912461</v>
      </c>
      <c r="L26" s="15">
        <f>IF(K26&gt;0,(1-NORMSDIST(K26)),(NORMSDIST(K26)))</f>
        <v>4.0481161026010006E-11</v>
      </c>
      <c r="M26" s="16" t="str">
        <f>IF(L26&lt;0.025,"Significativa","No significativa")</f>
        <v>Significativa</v>
      </c>
      <c r="O26" s="18" t="s">
        <v>23</v>
      </c>
      <c r="P26" s="46">
        <v>42.318750000000001</v>
      </c>
      <c r="Q26" s="46">
        <v>1.32219</v>
      </c>
      <c r="R26" s="46">
        <v>42.725210000000004</v>
      </c>
      <c r="S26" s="46">
        <v>1.08023</v>
      </c>
      <c r="T26" s="4"/>
      <c r="U26" s="14">
        <f>R26-P26</f>
        <v>0.40646000000000271</v>
      </c>
      <c r="V26" s="15">
        <f>SQRT(S26*S26+Q26*Q26)</f>
        <v>1.7073614875005234</v>
      </c>
      <c r="W26" s="15">
        <f>U26/V26</f>
        <v>0.23806323556884032</v>
      </c>
      <c r="X26" s="15">
        <f>IF(W26&gt;0,(1-NORMSDIST(W26)),(NORMSDIST(W26)))</f>
        <v>0.40591602440946173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7.9763999999999999</v>
      </c>
      <c r="E27" s="46">
        <v>1.32962</v>
      </c>
      <c r="F27" s="46">
        <v>3.9511600000000002</v>
      </c>
      <c r="G27" s="46">
        <v>0.59594000000000003</v>
      </c>
      <c r="H27" s="46"/>
      <c r="I27" s="46">
        <f>F27-D27</f>
        <v>-4.0252400000000002</v>
      </c>
      <c r="J27" s="15">
        <f>SQRT(G27*G27+E27*E27)</f>
        <v>1.4570634262104036</v>
      </c>
      <c r="K27" s="15">
        <f>I27/J27</f>
        <v>-2.7625701994792542</v>
      </c>
      <c r="L27" s="15">
        <f>IF(K27&gt;0,(1-NORMSDIST(K27)),(NORMSDIST(K27)))</f>
        <v>2.8674114041270364E-3</v>
      </c>
      <c r="M27" s="16" t="str">
        <f>IF(L27&lt;0.025,"Significativa","No significativa")</f>
        <v>Significativa</v>
      </c>
      <c r="O27" s="18" t="s">
        <v>24</v>
      </c>
      <c r="P27" s="46">
        <v>4.5774299999999997</v>
      </c>
      <c r="Q27" s="46">
        <v>0.61018000000000006</v>
      </c>
      <c r="R27" s="46">
        <v>3.9511600000000002</v>
      </c>
      <c r="S27" s="46">
        <v>0.59594000000000003</v>
      </c>
      <c r="T27" s="4"/>
      <c r="U27" s="14">
        <f>R27-P27</f>
        <v>-0.62626999999999944</v>
      </c>
      <c r="V27" s="15">
        <f>SQRT(S27*S27+Q27*Q27)</f>
        <v>0.85291506962885821</v>
      </c>
      <c r="W27" s="15">
        <f>U27/V27</f>
        <v>-0.73427006076058399</v>
      </c>
      <c r="X27" s="15">
        <f>IF(W27&gt;0,(1-NORMSDIST(W27)),(NORMSDIST(W27)))</f>
        <v>0.23139208054571841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3.4299999999999997</v>
      </c>
      <c r="E28" s="46">
        <v>0.79608999999999996</v>
      </c>
      <c r="F28" s="46">
        <v>2.0594999999999999</v>
      </c>
      <c r="G28" s="46">
        <v>0.34565000000000001</v>
      </c>
      <c r="H28" s="46"/>
      <c r="I28" s="46">
        <f>F28-D28</f>
        <v>-1.3704999999999998</v>
      </c>
      <c r="J28" s="15">
        <f>SQRT(G28*G28+E28*E28)</f>
        <v>0.86789009131341044</v>
      </c>
      <c r="K28" s="15">
        <f>I28/J28</f>
        <v>-1.5791170030826958</v>
      </c>
      <c r="L28" s="15">
        <f>IF(K28&gt;0,(1-NORMSDIST(K28)),(NORMSDIST(K28)))</f>
        <v>5.7154611172290815E-2</v>
      </c>
      <c r="M28" s="16" t="str">
        <f>IF(L28&lt;0.025,"Significativa","No significativa")</f>
        <v>No significativa</v>
      </c>
      <c r="O28" s="18" t="s">
        <v>25</v>
      </c>
      <c r="P28" s="46">
        <v>2.4909400000000002</v>
      </c>
      <c r="Q28" s="46">
        <v>0.58382000000000001</v>
      </c>
      <c r="R28" s="46">
        <v>2.0594999999999999</v>
      </c>
      <c r="S28" s="46">
        <v>0.34565000000000001</v>
      </c>
      <c r="T28" s="4"/>
      <c r="U28" s="14">
        <f>R28-P28</f>
        <v>-0.43144000000000027</v>
      </c>
      <c r="V28" s="15">
        <f>SQRT(S28*S28+Q28*Q28)</f>
        <v>0.67846865432383829</v>
      </c>
      <c r="W28" s="15">
        <f>U28/V28</f>
        <v>-0.63590262755760363</v>
      </c>
      <c r="X28" s="15">
        <f>IF(W28&gt;0,(1-NORMSDIST(W28)),(NORMSDIST(W28)))</f>
        <v>0.26241994498361459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20.111439999999998</v>
      </c>
      <c r="E29" s="46">
        <v>1.6013599999999999</v>
      </c>
      <c r="F29" s="46">
        <v>17.4495</v>
      </c>
      <c r="G29" s="46">
        <v>1.0668600000000001</v>
      </c>
      <c r="H29" s="46"/>
      <c r="I29" s="46">
        <f>F29-D29</f>
        <v>-2.6619399999999978</v>
      </c>
      <c r="J29" s="15">
        <f>SQRT(G29*G29+E29*E29)</f>
        <v>1.9241996022242598</v>
      </c>
      <c r="K29" s="15">
        <f>I29/J29</f>
        <v>-1.3834011798583443</v>
      </c>
      <c r="L29" s="15">
        <f>IF(K29&gt;0,(1-NORMSDIST(K29)),(NORMSDIST(K29)))</f>
        <v>8.3270944494054963E-2</v>
      </c>
      <c r="M29" s="16" t="str">
        <f>IF(L29&lt;0.025,"Significativa","No significativa")</f>
        <v>No significativa</v>
      </c>
      <c r="O29" s="18" t="s">
        <v>26</v>
      </c>
      <c r="P29" s="46">
        <v>12.987909999999999</v>
      </c>
      <c r="Q29" s="46">
        <v>0.94902000000000009</v>
      </c>
      <c r="R29" s="46">
        <v>17.4495</v>
      </c>
      <c r="S29" s="46">
        <v>1.0668600000000001</v>
      </c>
      <c r="T29" s="4"/>
      <c r="U29" s="14">
        <f>R29-P29</f>
        <v>4.4615900000000011</v>
      </c>
      <c r="V29" s="15">
        <f>SQRT(S29*S29+Q29*Q29)</f>
        <v>1.4278757719073463</v>
      </c>
      <c r="W29" s="15">
        <f>U29/V29</f>
        <v>3.1246345710034991</v>
      </c>
      <c r="X29" s="15">
        <f>IF(W29&gt;0,(1-NORMSDIST(W29)),(NORMSDIST(W29)))</f>
        <v>8.9013035065010904E-4</v>
      </c>
      <c r="Y29" s="16" t="str">
        <f>IF(X29&lt;0.025,"Significativa","No significativa")</f>
        <v>Significativa</v>
      </c>
    </row>
    <row r="30" spans="3:25" x14ac:dyDescent="0.25">
      <c r="C30" s="8" t="s">
        <v>27</v>
      </c>
      <c r="J30" s="15"/>
      <c r="K30" s="15"/>
      <c r="L30" s="15"/>
      <c r="M30" s="16"/>
      <c r="O30" s="8" t="s">
        <v>27</v>
      </c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14.05148</v>
      </c>
      <c r="E31" s="46">
        <v>1.2214100000000001</v>
      </c>
      <c r="F31" s="46">
        <v>10.81353</v>
      </c>
      <c r="G31" s="46">
        <v>0.83656000000000008</v>
      </c>
      <c r="H31" s="46"/>
      <c r="I31" s="46">
        <f>F31-D31</f>
        <v>-3.2379499999999997</v>
      </c>
      <c r="J31" s="15">
        <f>SQRT(G31*G31+E31*E31)</f>
        <v>1.4804306879080833</v>
      </c>
      <c r="K31" s="15">
        <f>I31/J31</f>
        <v>-2.1871675766025711</v>
      </c>
      <c r="L31" s="15">
        <f>IF(K31&gt;0,(1-NORMSDIST(K31)),(NORMSDIST(K31)))</f>
        <v>1.436514645052967E-2</v>
      </c>
      <c r="M31" s="16" t="str">
        <f>IF(L31&lt;0.025,"Significativa","No significativa")</f>
        <v>Significativa</v>
      </c>
      <c r="O31" s="21" t="s">
        <v>28</v>
      </c>
      <c r="P31" s="46">
        <v>8.846210000000001</v>
      </c>
      <c r="Q31" s="46">
        <v>0.77027999999999996</v>
      </c>
      <c r="R31" s="46">
        <v>10.81353</v>
      </c>
      <c r="S31" s="46">
        <v>0.83656000000000008</v>
      </c>
      <c r="T31" s="22"/>
      <c r="U31" s="14">
        <f>R31-P31</f>
        <v>1.9673199999999991</v>
      </c>
      <c r="V31" s="15">
        <f>SQRT(S31*S31+Q31*Q31)</f>
        <v>1.1371736507675512</v>
      </c>
      <c r="W31" s="15">
        <f>U31/V31</f>
        <v>1.7300084280638486</v>
      </c>
      <c r="X31" s="15">
        <f>IF(W31&gt;0,(1-NORMSDIST(W31)),(NORMSDIST(W31)))</f>
        <v>4.1814384718029229E-2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45.330539999999999</v>
      </c>
      <c r="E32" s="30">
        <v>1.9493099999999999</v>
      </c>
      <c r="F32" s="30">
        <v>36.908760000000001</v>
      </c>
      <c r="G32" s="30">
        <v>1.1881699999999999</v>
      </c>
      <c r="H32" s="30"/>
      <c r="I32" s="30">
        <f>F32-D32</f>
        <v>-8.4217799999999983</v>
      </c>
      <c r="J32" s="25">
        <f>SQRT(G32*G32+E32*E32)</f>
        <v>2.2828835767511229</v>
      </c>
      <c r="K32" s="25">
        <f>I32/J32</f>
        <v>-3.6890974580427018</v>
      </c>
      <c r="L32" s="25">
        <f>IF(K32&gt;0,(1-NORMSDIST(K32)),(NORMSDIST(K32)))</f>
        <v>1.1252550205022406E-4</v>
      </c>
      <c r="M32" s="26" t="str">
        <f>IF(L32&lt;0.025,"Significativa","No significativa")</f>
        <v>Significativa</v>
      </c>
      <c r="O32" s="23" t="s">
        <v>29</v>
      </c>
      <c r="P32" s="30">
        <v>36.464079999999996</v>
      </c>
      <c r="Q32" s="30">
        <v>1.2961400000000001</v>
      </c>
      <c r="R32" s="30">
        <v>36.908760000000001</v>
      </c>
      <c r="S32" s="30">
        <v>1.1881699999999999</v>
      </c>
      <c r="T32" s="24"/>
      <c r="U32" s="32">
        <f>R32-P32</f>
        <v>0.44468000000000529</v>
      </c>
      <c r="V32" s="25">
        <f>SQRT(S32*S32+Q32*Q32)</f>
        <v>1.7583306994135091</v>
      </c>
      <c r="W32" s="25">
        <f>U32/V32</f>
        <v>0.25289895703255832</v>
      </c>
      <c r="X32" s="25">
        <f>IF(W32&gt;0,(1-NORMSDIST(W32)),(NORMSDIST(W32)))</f>
        <v>0.4001731477242163</v>
      </c>
      <c r="Y32" s="26" t="str">
        <f>IF(X32&lt;0.025,"Significativa","No significativa")</f>
        <v>No 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7963-6F47-40FB-8790-F01405BC6496}">
  <dimension ref="A4:Y34"/>
  <sheetViews>
    <sheetView zoomScaleNormal="100" workbookViewId="0">
      <selection activeCell="G6" sqref="G6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1.5703125" style="1" bestFit="1" customWidth="1"/>
    <col min="10" max="10" width="13.570312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1.5703125" style="1" bestFit="1" customWidth="1"/>
    <col min="22" max="22" width="13.570312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78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77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6.7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39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48.437835670852067</v>
      </c>
      <c r="E14" s="36">
        <v>2.3797899999999998</v>
      </c>
      <c r="F14" s="14">
        <v>37.592399999999998</v>
      </c>
      <c r="G14" s="36">
        <v>1.4799100000000001</v>
      </c>
      <c r="H14" s="4"/>
      <c r="I14" s="14">
        <f>F14-D14</f>
        <v>-10.845435670852069</v>
      </c>
      <c r="J14" s="15">
        <f>SQRT(G14*G14+E14*E14)</f>
        <v>2.8024157529174718</v>
      </c>
      <c r="K14" s="15">
        <f>I14/J14</f>
        <v>-3.870030940113494</v>
      </c>
      <c r="L14" s="15">
        <f>IF(K14&gt;0,(1-NORMSDIST(K14)),(NORMSDIST(K14)))</f>
        <v>5.441077084231669E-5</v>
      </c>
      <c r="M14" s="16" t="str">
        <f>IF(L14&lt;0.025,"Significativa","No significativa")</f>
        <v>Significativa</v>
      </c>
      <c r="O14" s="13" t="s">
        <v>11</v>
      </c>
      <c r="P14" s="46">
        <v>37.349758889242835</v>
      </c>
      <c r="Q14" s="36">
        <v>1.2999000000000001</v>
      </c>
      <c r="R14" s="14">
        <v>37.592399999999998</v>
      </c>
      <c r="S14" s="36">
        <v>1.4799100000000001</v>
      </c>
      <c r="T14" s="4"/>
      <c r="U14" s="14">
        <f>R14-P14</f>
        <v>0.24264111075716244</v>
      </c>
      <c r="V14" s="15">
        <f>SQRT(S14*S14+Q14*Q14)</f>
        <v>1.9697394797536045</v>
      </c>
      <c r="W14" s="15">
        <f>U14/V14</f>
        <v>0.12318436689278041</v>
      </c>
      <c r="X14" s="15">
        <f>IF(W14&gt;0,(1-NORMSDIST(W14)),(NORMSDIST(W14)))</f>
        <v>0.45098055234614276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46">
        <v>36.983269629189863</v>
      </c>
      <c r="E15" s="36">
        <v>2.1457799999999998</v>
      </c>
      <c r="F15" s="14">
        <v>33.220300000000002</v>
      </c>
      <c r="G15" s="36">
        <v>1.12866</v>
      </c>
      <c r="H15" s="4"/>
      <c r="I15" s="14">
        <f>F15-D15</f>
        <v>-3.7629696291898611</v>
      </c>
      <c r="J15" s="15">
        <f>SQRT(G15*G15+E15*E15)</f>
        <v>2.4245092707597551</v>
      </c>
      <c r="K15" s="15">
        <f>I15/J15</f>
        <v>-1.5520541309420031</v>
      </c>
      <c r="L15" s="15">
        <f>IF(K15&gt;0,(1-NORMSDIST(K15)),(NORMSDIST(K15)))</f>
        <v>6.032463599583808E-2</v>
      </c>
      <c r="M15" s="16" t="str">
        <f>IF(L15&lt;0.025,"Significativa","No significativa")</f>
        <v>No significativa</v>
      </c>
      <c r="O15" s="13" t="s">
        <v>12</v>
      </c>
      <c r="P15" s="46">
        <v>35.130221777958411</v>
      </c>
      <c r="Q15" s="36">
        <v>1.22194</v>
      </c>
      <c r="R15" s="14">
        <v>33.220300000000002</v>
      </c>
      <c r="S15" s="36">
        <v>1.12866</v>
      </c>
      <c r="T15" s="4"/>
      <c r="U15" s="14">
        <f>R15-P15</f>
        <v>-1.9099217779584095</v>
      </c>
      <c r="V15" s="15">
        <f t="shared" ref="V15:V32" si="0">SQRT(S15*S15+Q15*Q15)</f>
        <v>1.6634334249377098</v>
      </c>
      <c r="W15" s="15">
        <f>U15/V15</f>
        <v>-1.148180473787179</v>
      </c>
      <c r="X15" s="15">
        <f>IF(W15&gt;0,(1-NORMSDIST(W15)),(NORMSDIST(W15)))</f>
        <v>0.12544703417096192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46">
        <v>11.454566041662204</v>
      </c>
      <c r="E16" s="36">
        <v>1.91046</v>
      </c>
      <c r="F16" s="14">
        <v>4.3720599999999994</v>
      </c>
      <c r="G16" s="36">
        <v>1.07975</v>
      </c>
      <c r="H16" s="4"/>
      <c r="I16" s="14">
        <f>F16-D16</f>
        <v>-7.0825060416622048</v>
      </c>
      <c r="J16" s="15">
        <f>SQRT(G16*G16+E16*E16)</f>
        <v>2.1944743047253938</v>
      </c>
      <c r="K16" s="15">
        <f>I16/J16</f>
        <v>-3.2274271912919374</v>
      </c>
      <c r="L16" s="15">
        <f>IF(K16&gt;0,(1-NORMSDIST(K16)),(NORMSDIST(K16)))</f>
        <v>6.2454412379169032E-4</v>
      </c>
      <c r="M16" s="16" t="str">
        <f>IF(L16&lt;0.025,"Significativa","No significativa")</f>
        <v>Significativa</v>
      </c>
      <c r="O16" s="13" t="s">
        <v>13</v>
      </c>
      <c r="P16" s="46">
        <v>2.2195371112844229</v>
      </c>
      <c r="Q16" s="36">
        <v>0.3256</v>
      </c>
      <c r="R16" s="14">
        <v>4.3720599999999994</v>
      </c>
      <c r="S16" s="36">
        <v>1.07975</v>
      </c>
      <c r="T16" s="4"/>
      <c r="U16" s="14">
        <f>R16-P16</f>
        <v>2.1525228887155765</v>
      </c>
      <c r="V16" s="15">
        <f t="shared" si="0"/>
        <v>1.1277745441798197</v>
      </c>
      <c r="W16" s="15">
        <f>U16/V16</f>
        <v>1.9086464575958404</v>
      </c>
      <c r="X16" s="15">
        <f>IF(W16&gt;0,(1-NORMSDIST(W16)),(NORMSDIST(W16)))</f>
        <v>2.8153857266116411E-2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46">
        <v>24.57849686783711</v>
      </c>
      <c r="E17" s="36">
        <v>1.34423</v>
      </c>
      <c r="F17" s="14">
        <v>28.1295</v>
      </c>
      <c r="G17" s="36">
        <v>1.0260899999999999</v>
      </c>
      <c r="H17" s="4"/>
      <c r="I17" s="14">
        <f>F17-D17</f>
        <v>3.5510031321628901</v>
      </c>
      <c r="J17" s="15">
        <f>SQRT(G17*G17+E17*E17)</f>
        <v>1.6910987496299559</v>
      </c>
      <c r="K17" s="15">
        <f>I17/J17</f>
        <v>2.0998200920791388</v>
      </c>
      <c r="L17" s="15">
        <f>IF(K17&gt;0,(1-NORMSDIST(K17)),(NORMSDIST(K17)))</f>
        <v>1.7872335055058364E-2</v>
      </c>
      <c r="M17" s="16" t="str">
        <f>IF(L17&lt;0.025,"Significativa","No significativa")</f>
        <v>Significativa</v>
      </c>
      <c r="O17" s="13" t="s">
        <v>14</v>
      </c>
      <c r="P17" s="46">
        <v>27.068939002823029</v>
      </c>
      <c r="Q17" s="36">
        <v>1.1261999999999999</v>
      </c>
      <c r="R17" s="14">
        <v>28.1295</v>
      </c>
      <c r="S17" s="36">
        <v>1.0260899999999999</v>
      </c>
      <c r="T17" s="4"/>
      <c r="U17" s="14">
        <f>R17-P17</f>
        <v>1.0605609971769709</v>
      </c>
      <c r="V17" s="15">
        <f t="shared" si="0"/>
        <v>1.5235442652250049</v>
      </c>
      <c r="W17" s="15">
        <f>U17/V17</f>
        <v>0.69611433115817078</v>
      </c>
      <c r="X17" s="15">
        <f>IF(W17&gt;0,(1-NORMSDIST(W17)),(NORMSDIST(W17)))</f>
        <v>0.24317861612997493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46">
        <v>8.2157841424116587</v>
      </c>
      <c r="E18" s="36">
        <v>0.76480999999999999</v>
      </c>
      <c r="F18" s="14">
        <v>10.251799999999999</v>
      </c>
      <c r="G18" s="36">
        <v>0.71412999999999993</v>
      </c>
      <c r="H18" s="4"/>
      <c r="I18" s="14">
        <f>F18-D18</f>
        <v>2.0360158575883407</v>
      </c>
      <c r="J18" s="15">
        <f>SQRT(G18*G18+E18*E18)</f>
        <v>1.0463823359556486</v>
      </c>
      <c r="K18" s="15">
        <f>I18/J18</f>
        <v>1.9457666549090507</v>
      </c>
      <c r="L18" s="15">
        <f>IF(K18&gt;0,(1-NORMSDIST(K18)),(NORMSDIST(K18)))</f>
        <v>2.5841387900116919E-2</v>
      </c>
      <c r="M18" s="16" t="str">
        <f>IF(L18&lt;0.025,"Significativa","No significativa")</f>
        <v>No significativa</v>
      </c>
      <c r="O18" s="13" t="s">
        <v>15</v>
      </c>
      <c r="P18" s="46">
        <v>10.264947219262497</v>
      </c>
      <c r="Q18" s="36">
        <v>0.64722999999999997</v>
      </c>
      <c r="R18" s="14">
        <v>10.251799999999999</v>
      </c>
      <c r="S18" s="36">
        <v>0.71412999999999993</v>
      </c>
      <c r="T18" s="4"/>
      <c r="U18" s="14">
        <f>R18-P18</f>
        <v>-1.3147219262497956E-2</v>
      </c>
      <c r="V18" s="15">
        <f t="shared" si="0"/>
        <v>0.96378852960595029</v>
      </c>
      <c r="W18" s="15">
        <f>U18/V18</f>
        <v>-1.3641186690479977E-2</v>
      </c>
      <c r="X18" s="15">
        <f>IF(W18&gt;0,(1-NORMSDIST(W18)),(NORMSDIST(W18)))</f>
        <v>0.49455812264738863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18.767883318899166</v>
      </c>
      <c r="E19" s="36">
        <v>1.5429599999999999</v>
      </c>
      <c r="F19" s="14">
        <v>24.026299999999999</v>
      </c>
      <c r="G19" s="36">
        <v>0.97783999999999993</v>
      </c>
      <c r="H19" s="4"/>
      <c r="I19" s="14">
        <f>F19-D19</f>
        <v>5.258416681100833</v>
      </c>
      <c r="J19" s="15">
        <f>SQRT(G19*G19+E19*E19)</f>
        <v>1.8267174459122024</v>
      </c>
      <c r="K19" s="15">
        <f>I19/J19</f>
        <v>2.8786152411627914</v>
      </c>
      <c r="L19" s="15">
        <f>IF(K19&gt;0,(1-NORMSDIST(K19)),(NORMSDIST(K19)))</f>
        <v>1.9971265850304842E-3</v>
      </c>
      <c r="M19" s="16" t="str">
        <f>IF(L19&lt;0.025,"Significativa","No significativa")</f>
        <v>Significativa</v>
      </c>
      <c r="O19" s="13" t="s">
        <v>16</v>
      </c>
      <c r="P19" s="46">
        <v>25.31635488867164</v>
      </c>
      <c r="Q19" s="36">
        <v>1.06111</v>
      </c>
      <c r="R19" s="14">
        <v>24.026299999999999</v>
      </c>
      <c r="S19" s="36">
        <v>0.97783999999999993</v>
      </c>
      <c r="T19" s="4"/>
      <c r="U19" s="14">
        <f>R19-P19</f>
        <v>-1.2900548886716408</v>
      </c>
      <c r="V19" s="15">
        <f t="shared" si="0"/>
        <v>1.4429572057756945</v>
      </c>
      <c r="W19" s="15">
        <f>U19/V19</f>
        <v>-0.89403544575540084</v>
      </c>
      <c r="X19" s="15">
        <f>IF(W19&gt;0,(1-NORMSDIST(W19)),(NORMSDIST(W19)))</f>
        <v>0.18565146323872112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D20" s="46"/>
      <c r="E20" s="36"/>
      <c r="G20" s="36"/>
      <c r="H20" s="4"/>
      <c r="I20" s="14"/>
      <c r="J20" s="15"/>
      <c r="K20" s="15"/>
      <c r="L20" s="15"/>
      <c r="M20" s="16"/>
      <c r="O20" s="17" t="s">
        <v>17</v>
      </c>
      <c r="P20" s="46"/>
      <c r="Q20" s="36"/>
      <c r="S20" s="36">
        <v>0</v>
      </c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73.01633253868917</v>
      </c>
      <c r="E21" s="36">
        <v>1.8787399999999999</v>
      </c>
      <c r="F21" s="14">
        <v>65.721900000000005</v>
      </c>
      <c r="G21" s="36">
        <v>1.1536999999999999</v>
      </c>
      <c r="H21" s="4"/>
      <c r="I21" s="14">
        <f>F21-D21</f>
        <v>-7.2944325386891649</v>
      </c>
      <c r="J21" s="15">
        <f>SQRT(G21*G21+E21*E21)</f>
        <v>2.2046967314349608</v>
      </c>
      <c r="K21" s="15">
        <f>I21/J21</f>
        <v>-3.3085877230567995</v>
      </c>
      <c r="L21" s="15">
        <f>IF(K21&gt;0,(1-NORMSDIST(K21)),(NORMSDIST(K21)))</f>
        <v>4.6883902147132507E-4</v>
      </c>
      <c r="M21" s="16" t="str">
        <f>IF(L21&lt;0.025,"Significativa","No significativa")</f>
        <v>Significativa</v>
      </c>
      <c r="O21" s="18" t="s">
        <v>18</v>
      </c>
      <c r="P21" s="46">
        <v>64.418697892065865</v>
      </c>
      <c r="Q21" s="36">
        <v>1.1427</v>
      </c>
      <c r="R21" s="14">
        <v>65.721900000000005</v>
      </c>
      <c r="S21" s="36">
        <v>1.1536999999999999</v>
      </c>
      <c r="T21" s="4"/>
      <c r="U21" s="14">
        <f>R21-P21</f>
        <v>1.3032021079341405</v>
      </c>
      <c r="V21" s="15">
        <f t="shared" si="0"/>
        <v>1.6238186413513056</v>
      </c>
      <c r="W21" s="15">
        <f>U21/V21</f>
        <v>0.80255397662490491</v>
      </c>
      <c r="X21" s="15">
        <f>IF(W21&gt;0,(1-NORMSDIST(W21)),(NORMSDIST(W21)))</f>
        <v>0.21111628925743164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27.457699734676577</v>
      </c>
      <c r="E22" s="36">
        <v>2.4688600000000003</v>
      </c>
      <c r="F22" s="14">
        <v>12.315099999999999</v>
      </c>
      <c r="G22" s="36">
        <v>1.1943900000000001</v>
      </c>
      <c r="H22" s="4"/>
      <c r="I22" s="14">
        <f>F22-D22</f>
        <v>-15.142599734676578</v>
      </c>
      <c r="J22" s="15">
        <f>SQRT(G22*G22+E22*E22)</f>
        <v>2.7425967934969955</v>
      </c>
      <c r="K22" s="15">
        <f>I22/J22</f>
        <v>-5.5212635596239954</v>
      </c>
      <c r="L22" s="15">
        <f>IF(K22&gt;0,(1-NORMSDIST(K22)),(NORMSDIST(K22)))</f>
        <v>1.6828524413528385E-8</v>
      </c>
      <c r="M22" s="16" t="str">
        <f>IF(L22&lt;0.025,"Significativa","No significativa")</f>
        <v>Significativa</v>
      </c>
      <c r="O22" s="18" t="s">
        <v>19</v>
      </c>
      <c r="P22" s="46">
        <v>8.5374627898546738</v>
      </c>
      <c r="Q22" s="36">
        <v>0.59508000000000005</v>
      </c>
      <c r="R22" s="14">
        <v>12.315099999999999</v>
      </c>
      <c r="S22" s="36">
        <v>1.1943900000000001</v>
      </c>
      <c r="T22" s="4"/>
      <c r="U22" s="14">
        <f>R22-P22</f>
        <v>3.7776372101453255</v>
      </c>
      <c r="V22" s="15">
        <f t="shared" si="0"/>
        <v>1.3344240999397456</v>
      </c>
      <c r="W22" s="15">
        <f>U22/V22</f>
        <v>2.8309120093948397</v>
      </c>
      <c r="X22" s="15">
        <f>IF(W22&gt;0,(1-NORMSDIST(W22)),(NORMSDIST(W22)))</f>
        <v>2.3207744048457934E-3</v>
      </c>
      <c r="Y22" s="16" t="str">
        <f>IF(X22&lt;0.025,"Significativa","No significativa")</f>
        <v>Significativa</v>
      </c>
    </row>
    <row r="23" spans="3:25" x14ac:dyDescent="0.25">
      <c r="C23" s="19" t="s">
        <v>20</v>
      </c>
      <c r="D23" s="46"/>
      <c r="E23" s="36"/>
      <c r="G23" s="36"/>
      <c r="H23" s="4"/>
      <c r="I23" s="14"/>
      <c r="J23" s="15"/>
      <c r="K23" s="15"/>
      <c r="L23" s="15"/>
      <c r="M23" s="16"/>
      <c r="O23" s="19" t="s">
        <v>20</v>
      </c>
      <c r="P23" s="46"/>
      <c r="Q23" s="36"/>
      <c r="S23" s="36">
        <v>0</v>
      </c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21.634845197401237</v>
      </c>
      <c r="E24" s="36">
        <v>0.90234999999999999</v>
      </c>
      <c r="F24" s="14">
        <v>13.497600000000002</v>
      </c>
      <c r="G24" s="36">
        <v>0.51254</v>
      </c>
      <c r="H24" s="4"/>
      <c r="I24" s="14">
        <f>F24-D24</f>
        <v>-8.137245197401235</v>
      </c>
      <c r="J24" s="15">
        <f>SQRT(G24*G24+E24*E24)</f>
        <v>1.0377537155317729</v>
      </c>
      <c r="K24" s="15">
        <f>I24/J24</f>
        <v>-7.8412103716068042</v>
      </c>
      <c r="L24" s="15">
        <f>IF(K24&gt;0,(1-NORMSDIST(K24)),(NORMSDIST(K24)))</f>
        <v>2.2311206831195139E-15</v>
      </c>
      <c r="M24" s="16" t="str">
        <f>IF(L24&lt;0.025,"Significativa","No significativa")</f>
        <v>Significativa</v>
      </c>
      <c r="O24" s="20" t="s">
        <v>21</v>
      </c>
      <c r="P24" s="46">
        <v>13.558003888528841</v>
      </c>
      <c r="Q24" s="36">
        <v>0.48615000000000003</v>
      </c>
      <c r="R24" s="14">
        <v>13.497600000000002</v>
      </c>
      <c r="S24" s="36">
        <v>0.51254</v>
      </c>
      <c r="T24" s="4"/>
      <c r="U24" s="14">
        <f>R24-P24</f>
        <v>-6.0403888528838934E-2</v>
      </c>
      <c r="V24" s="15">
        <f t="shared" si="0"/>
        <v>0.70642697718872549</v>
      </c>
      <c r="W24" s="15">
        <f>U24/V24</f>
        <v>-8.5506203017925983E-2</v>
      </c>
      <c r="X24" s="15">
        <f>IF(W24&gt;0,(1-NORMSDIST(W24)),(NORMSDIST(W24)))</f>
        <v>0.46592948211953078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37.239901949683421</v>
      </c>
      <c r="E25" s="36">
        <v>2.17848</v>
      </c>
      <c r="F25" s="14">
        <v>22.895399999999999</v>
      </c>
      <c r="G25" s="36">
        <v>0.80890000000000006</v>
      </c>
      <c r="H25" s="4"/>
      <c r="I25" s="14">
        <f>F25-D25</f>
        <v>-14.344501949683423</v>
      </c>
      <c r="J25" s="15">
        <f>SQRT(G25*G25+E25*E25)</f>
        <v>2.3238103021546315</v>
      </c>
      <c r="K25" s="15">
        <f>I25/J25</f>
        <v>-6.1728368862050544</v>
      </c>
      <c r="L25" s="15">
        <f>IF(K25&gt;0,(1-NORMSDIST(K25)),(NORMSDIST(K25)))</f>
        <v>3.3537701698967644E-10</v>
      </c>
      <c r="M25" s="16" t="str">
        <f>IF(L25&lt;0.025,"Significativa","No significativa")</f>
        <v>Significativa</v>
      </c>
      <c r="O25" s="18" t="s">
        <v>22</v>
      </c>
      <c r="P25" s="46">
        <v>13.062765688676034</v>
      </c>
      <c r="Q25" s="36">
        <v>0.71862999999999999</v>
      </c>
      <c r="R25" s="14">
        <v>22.895399999999999</v>
      </c>
      <c r="S25" s="36">
        <v>0.80890000000000006</v>
      </c>
      <c r="T25" s="4"/>
      <c r="U25" s="14">
        <f>R25-P25</f>
        <v>9.8326343113239645</v>
      </c>
      <c r="V25" s="15">
        <f t="shared" si="0"/>
        <v>1.0820112230933652</v>
      </c>
      <c r="W25" s="15">
        <f>U25/V25</f>
        <v>9.087368135806777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58.95700658871197</v>
      </c>
      <c r="E26" s="36">
        <v>2.0419100000000001</v>
      </c>
      <c r="F26" s="14">
        <v>50.883599999999994</v>
      </c>
      <c r="G26" s="36">
        <v>1.3205100000000001</v>
      </c>
      <c r="H26" s="4"/>
      <c r="I26" s="14">
        <f>F26-D26</f>
        <v>-8.0734065887119755</v>
      </c>
      <c r="J26" s="15">
        <f>SQRT(G26*G26+E26*E26)</f>
        <v>2.4316955212772839</v>
      </c>
      <c r="K26" s="15">
        <f>I26/J26</f>
        <v>-3.3200729770934889</v>
      </c>
      <c r="L26" s="15">
        <f>IF(K26&gt;0,(1-NORMSDIST(K26)),(NORMSDIST(K26)))</f>
        <v>4.4996959916916338E-4</v>
      </c>
      <c r="M26" s="16" t="str">
        <f>IF(L26&lt;0.025,"Significativa","No significativa")</f>
        <v>Significativa</v>
      </c>
      <c r="O26" s="18" t="s">
        <v>23</v>
      </c>
      <c r="P26" s="46">
        <v>48.097916231861774</v>
      </c>
      <c r="Q26" s="36">
        <v>1.32694</v>
      </c>
      <c r="R26" s="14">
        <v>50.883599999999994</v>
      </c>
      <c r="S26" s="36">
        <v>1.3205100000000001</v>
      </c>
      <c r="T26" s="4"/>
      <c r="U26" s="14">
        <f>R26-P26</f>
        <v>2.7856837681382203</v>
      </c>
      <c r="V26" s="15">
        <f t="shared" si="0"/>
        <v>1.8720353692438614</v>
      </c>
      <c r="W26" s="15">
        <f>U26/V26</f>
        <v>1.4880508209967171</v>
      </c>
      <c r="X26" s="15">
        <f>IF(W26&gt;0,(1-NORMSDIST(W26)),(NORMSDIST(W26)))</f>
        <v>6.8368745786160035E-2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11.767874138157914</v>
      </c>
      <c r="E27" s="36">
        <v>1.5282100000000001</v>
      </c>
      <c r="F27" s="14">
        <v>5.8208299999999999</v>
      </c>
      <c r="G27" s="36">
        <v>1.1583299999999999</v>
      </c>
      <c r="H27" s="4"/>
      <c r="I27" s="14">
        <f>F27-D27</f>
        <v>-5.9470441381579144</v>
      </c>
      <c r="J27" s="15">
        <f>SQRT(G27*G27+E27*E27)</f>
        <v>1.9175907261457017</v>
      </c>
      <c r="K27" s="15">
        <f>I27/J27</f>
        <v>-3.1013104397471145</v>
      </c>
      <c r="L27" s="15">
        <f>IF(K27&gt;0,(1-NORMSDIST(K27)),(NORMSDIST(K27)))</f>
        <v>9.6333092856588226E-4</v>
      </c>
      <c r="M27" s="16" t="str">
        <f>IF(L27&lt;0.025,"Significativa","No significativa")</f>
        <v>Significativa</v>
      </c>
      <c r="O27" s="18" t="s">
        <v>24</v>
      </c>
      <c r="P27" s="46">
        <v>4.7780572734163034</v>
      </c>
      <c r="Q27" s="36">
        <v>0.62589000000000006</v>
      </c>
      <c r="R27" s="14">
        <v>5.8208299999999999</v>
      </c>
      <c r="S27" s="36">
        <v>1.1583299999999999</v>
      </c>
      <c r="T27" s="4"/>
      <c r="U27" s="14">
        <f>R27-P27</f>
        <v>1.0427727265836966</v>
      </c>
      <c r="V27" s="15">
        <f t="shared" si="0"/>
        <v>1.3166118186466349</v>
      </c>
      <c r="W27" s="15">
        <f>U27/V27</f>
        <v>0.79201227864988966</v>
      </c>
      <c r="X27" s="15">
        <f>IF(W27&gt;0,(1-NORMSDIST(W27)),(NORMSDIST(W27)))</f>
        <v>0.21417675838940586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17.600337851278113</v>
      </c>
      <c r="E28" s="36">
        <v>2.9608499999999998</v>
      </c>
      <c r="F28" s="14">
        <v>5.9187099999999999</v>
      </c>
      <c r="G28" s="36">
        <v>1.2720499999999999</v>
      </c>
      <c r="H28" s="4"/>
      <c r="I28" s="14">
        <f>F28-D28</f>
        <v>-11.681627851278112</v>
      </c>
      <c r="J28" s="15">
        <f>SQRT(G28*G28+E28*E28)</f>
        <v>3.2225368772133547</v>
      </c>
      <c r="K28" s="15">
        <f>I28/J28</f>
        <v>-3.6249787966366553</v>
      </c>
      <c r="L28" s="15">
        <f>IF(K28&gt;0,(1-NORMSDIST(K28)),(NORMSDIST(K28)))</f>
        <v>1.4449258032139605E-4</v>
      </c>
      <c r="M28" s="16" t="str">
        <f>IF(L28&lt;0.025,"Significativa","No significativa")</f>
        <v>Significativa</v>
      </c>
      <c r="O28" s="18" t="s">
        <v>25</v>
      </c>
      <c r="P28" s="46">
        <v>5.655942089480102</v>
      </c>
      <c r="Q28" s="36">
        <v>0.77690999999999999</v>
      </c>
      <c r="R28" s="14">
        <v>5.9187099999999999</v>
      </c>
      <c r="S28" s="36">
        <v>1.2720499999999999</v>
      </c>
      <c r="T28" s="4"/>
      <c r="U28" s="14">
        <f>R28-P28</f>
        <v>0.2627679105198979</v>
      </c>
      <c r="V28" s="15">
        <f t="shared" si="0"/>
        <v>1.490536933658472</v>
      </c>
      <c r="W28" s="15">
        <f>U28/V28</f>
        <v>0.17629077454319972</v>
      </c>
      <c r="X28" s="15">
        <f>IF(W28&gt;0,(1-NORMSDIST(W28)),(NORMSDIST(W28)))</f>
        <v>0.43003275468956592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22.013520171618655</v>
      </c>
      <c r="E29" s="36">
        <v>1.74607</v>
      </c>
      <c r="F29" s="14">
        <v>18.700400000000002</v>
      </c>
      <c r="G29" s="36">
        <v>1.01078</v>
      </c>
      <c r="H29" s="4"/>
      <c r="I29" s="14">
        <f>F29-D29</f>
        <v>-3.3131201716186531</v>
      </c>
      <c r="J29" s="15">
        <f>SQRT(G29*G29+E29*E29)</f>
        <v>2.0175323177832865</v>
      </c>
      <c r="K29" s="15">
        <f>I29/J29</f>
        <v>-1.6421646099125995</v>
      </c>
      <c r="L29" s="15">
        <f>IF(K29&gt;0,(1-NORMSDIST(K29)),(NORMSDIST(K29)))</f>
        <v>5.0277947392699321E-2</v>
      </c>
      <c r="M29" s="16" t="str">
        <f>IF(L29&lt;0.025,"Significativa","No significativa")</f>
        <v>No significativa</v>
      </c>
      <c r="O29" s="18" t="s">
        <v>26</v>
      </c>
      <c r="P29" s="46">
        <v>18.766765161417883</v>
      </c>
      <c r="Q29" s="36">
        <v>1.13991</v>
      </c>
      <c r="R29" s="14">
        <v>18.700400000000002</v>
      </c>
      <c r="S29" s="36">
        <v>1.01078</v>
      </c>
      <c r="T29" s="4"/>
      <c r="U29" s="14">
        <f>R29-P29</f>
        <v>-6.6365161417881069E-2</v>
      </c>
      <c r="V29" s="15">
        <f t="shared" si="0"/>
        <v>1.5235061589964118</v>
      </c>
      <c r="W29" s="15">
        <f>U29/V29</f>
        <v>-4.3560809404011983E-2</v>
      </c>
      <c r="X29" s="15">
        <f>IF(W29&gt;0,(1-NORMSDIST(W29)),(NORMSDIST(W29)))</f>
        <v>0.48262724579515814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G30" s="36"/>
      <c r="H30" s="4"/>
      <c r="I30" s="14"/>
      <c r="J30" s="15"/>
      <c r="K30" s="15"/>
      <c r="L30" s="15"/>
      <c r="M30" s="16"/>
      <c r="O30" s="8" t="s">
        <v>27</v>
      </c>
      <c r="P30" s="46"/>
      <c r="Q30" s="36"/>
      <c r="S30" s="36">
        <v>0</v>
      </c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20.021544139473821</v>
      </c>
      <c r="E31" s="36">
        <v>2.03871</v>
      </c>
      <c r="F31" s="14">
        <v>15.502699999999999</v>
      </c>
      <c r="G31" s="36">
        <v>1.3687</v>
      </c>
      <c r="H31" s="22"/>
      <c r="I31" s="14">
        <f>F31-D31</f>
        <v>-4.5188441394738224</v>
      </c>
      <c r="J31" s="15">
        <f>SQRT(((G31^2)+(E31^2)))</f>
        <v>2.4555402977959861</v>
      </c>
      <c r="K31" s="15">
        <f>(F31-D31)/SQRT(((G31^2)+(E31^2)))</f>
        <v>-1.8402647040774656</v>
      </c>
      <c r="L31" s="15">
        <f>IF(K31&gt;0,(1-NORMSDIST(K31)),(NORMSDIST(K31)))</f>
        <v>3.28646923080263E-2</v>
      </c>
      <c r="M31" s="16" t="str">
        <f>IF(L31&lt;0.025,"Significativa","No significativa")</f>
        <v>No significativa</v>
      </c>
      <c r="O31" s="21" t="s">
        <v>28</v>
      </c>
      <c r="P31" s="46">
        <v>14.390412689346091</v>
      </c>
      <c r="Q31" s="36">
        <v>1.0678399999999999</v>
      </c>
      <c r="R31" s="14">
        <v>15.502699999999999</v>
      </c>
      <c r="S31" s="36">
        <v>1.3687</v>
      </c>
      <c r="T31" s="22"/>
      <c r="U31" s="14">
        <f>R31-P31</f>
        <v>1.1122873106539082</v>
      </c>
      <c r="V31" s="15">
        <f t="shared" si="0"/>
        <v>1.7359786737169325</v>
      </c>
      <c r="W31" s="15">
        <f t="shared" ref="W31:W32" si="1">U31/V31</f>
        <v>0.64072636806785854</v>
      </c>
      <c r="X31" s="15">
        <f>IF(W31&gt;0,(1-NORMSDIST(W31)),(NORMSDIST(W31)))</f>
        <v>0.2608502397384288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56.653619813263724</v>
      </c>
      <c r="E32" s="33">
        <v>2.1351</v>
      </c>
      <c r="F32" s="32">
        <v>47.844200000000001</v>
      </c>
      <c r="G32" s="33">
        <v>1.43831</v>
      </c>
      <c r="H32" s="24"/>
      <c r="I32" s="32">
        <f>F32-D32</f>
        <v>-8.8094198132637231</v>
      </c>
      <c r="J32" s="25">
        <f>SQRT(((G32^2)+(E32^2)))</f>
        <v>2.5743713147290932</v>
      </c>
      <c r="K32" s="25">
        <f>(F32-D32)/SQRT(((G32^2)+(E32^2)))</f>
        <v>-3.4219693805867153</v>
      </c>
      <c r="L32" s="25">
        <f>IF(K32&gt;0,(1-NORMSDIST(K32)),(NORMSDIST(K32)))</f>
        <v>3.1084657199306748E-4</v>
      </c>
      <c r="M32" s="26" t="str">
        <f>IF(L32&lt;0.025,"Significativa","No significativa")</f>
        <v>Significativa</v>
      </c>
      <c r="O32" s="23" t="s">
        <v>29</v>
      </c>
      <c r="P32" s="30">
        <v>47.614706108505331</v>
      </c>
      <c r="Q32" s="33">
        <v>1.42014</v>
      </c>
      <c r="R32" s="32">
        <v>47.844200000000001</v>
      </c>
      <c r="S32" s="33">
        <v>1.43831</v>
      </c>
      <c r="T32" s="24"/>
      <c r="U32" s="32">
        <f>R32-P32</f>
        <v>0.22949389149466981</v>
      </c>
      <c r="V32" s="25">
        <f t="shared" si="0"/>
        <v>2.0212702134301588</v>
      </c>
      <c r="W32" s="25">
        <f t="shared" si="1"/>
        <v>0.11353944166881651</v>
      </c>
      <c r="X32" s="25">
        <f>IF(W32&gt;0,(1-NORMSDIST(W32)),(NORMSDIST(W32)))</f>
        <v>0.45480144765186969</v>
      </c>
      <c r="Y32" s="26" t="str">
        <f>IF(X32&lt;0.025,"Significativa","No significativa")</f>
        <v>No significativa</v>
      </c>
    </row>
    <row r="33" spans="1:2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64</v>
      </c>
      <c r="P34" s="4"/>
      <c r="Q34" s="4"/>
      <c r="R34" s="4"/>
      <c r="S34" s="4"/>
      <c r="T34" s="4"/>
      <c r="U34" s="4"/>
      <c r="V34" s="4"/>
      <c r="W34" s="4"/>
      <c r="X34" s="4"/>
      <c r="Y34" s="28"/>
    </row>
  </sheetData>
  <mergeCells count="18">
    <mergeCell ref="O9:Y9"/>
    <mergeCell ref="O10:Y10"/>
    <mergeCell ref="O11:O12"/>
    <mergeCell ref="P11:Q11"/>
    <mergeCell ref="R11:S11"/>
    <mergeCell ref="W11:W12"/>
    <mergeCell ref="X11:X12"/>
    <mergeCell ref="Y11:Y12"/>
    <mergeCell ref="U12:V12"/>
    <mergeCell ref="K11:K12"/>
    <mergeCell ref="L11:L12"/>
    <mergeCell ref="M11:M12"/>
    <mergeCell ref="I12:J12"/>
    <mergeCell ref="C11:C12"/>
    <mergeCell ref="C9:M9"/>
    <mergeCell ref="C10:M10"/>
    <mergeCell ref="D11:E11"/>
    <mergeCell ref="F11:G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A86DB-0806-4D02-A823-BEF04E5AB190}">
  <dimension ref="A4:Y34"/>
  <sheetViews>
    <sheetView zoomScaleNormal="100" workbookViewId="0">
      <selection activeCell="J36" sqref="J36"/>
    </sheetView>
  </sheetViews>
  <sheetFormatPr baseColWidth="10" defaultColWidth="11.42578125" defaultRowHeight="15" x14ac:dyDescent="0.25"/>
  <cols>
    <col min="1" max="1" width="1.7109375" style="1" customWidth="1"/>
    <col min="2" max="2" width="1.5703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1.5703125" style="1" bestFit="1" customWidth="1"/>
    <col min="10" max="10" width="13.570312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1.5703125" style="1" bestFit="1" customWidth="1"/>
    <col min="22" max="22" width="13.570312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76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75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6.7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39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44.058458288033989</v>
      </c>
      <c r="E14" s="36">
        <v>2.0063399999999998</v>
      </c>
      <c r="F14" s="14">
        <v>44.452199999999998</v>
      </c>
      <c r="G14" s="36">
        <v>1.2727999999999999</v>
      </c>
      <c r="H14" s="4"/>
      <c r="I14" s="14">
        <f>F14-D14</f>
        <v>0.39374171196600827</v>
      </c>
      <c r="J14" s="15">
        <f>SQRT(G14*G14+E14*E14)</f>
        <v>2.3760092667327708</v>
      </c>
      <c r="K14" s="15">
        <f>I14/J14</f>
        <v>0.16571556242599972</v>
      </c>
      <c r="L14" s="15">
        <f>IF(K14&gt;0,(1-NORMSDIST(K14)),(NORMSDIST(K14)))</f>
        <v>0.43419039917544455</v>
      </c>
      <c r="M14" s="16" t="str">
        <f>IF(L14&lt;0.025,"Significativa","No significativa")</f>
        <v>No significativa</v>
      </c>
      <c r="O14" s="13" t="s">
        <v>11</v>
      </c>
      <c r="P14" s="46">
        <v>43.383853861412163</v>
      </c>
      <c r="Q14" s="36">
        <v>1.62975</v>
      </c>
      <c r="R14" s="14">
        <v>44.452199999999998</v>
      </c>
      <c r="S14" s="36">
        <v>1.2727999999999999</v>
      </c>
      <c r="T14" s="4"/>
      <c r="U14" s="14">
        <f>R14-P14</f>
        <v>1.0683461385878346</v>
      </c>
      <c r="V14" s="15">
        <f>SQRT(S14*S14+Q14*Q14)</f>
        <v>2.0678744890587533</v>
      </c>
      <c r="W14" s="15">
        <f>U14/V14</f>
        <v>0.51663974010053193</v>
      </c>
      <c r="X14" s="15">
        <f>IF(W14&gt;0,(1-NORMSDIST(W14)),(NORMSDIST(W14)))</f>
        <v>0.3027038344393127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46">
        <v>36.161900451609483</v>
      </c>
      <c r="E15" s="36">
        <v>1.7114799999999999</v>
      </c>
      <c r="F15" s="14">
        <v>38.948100000000004</v>
      </c>
      <c r="G15" s="36">
        <v>1.1535</v>
      </c>
      <c r="H15" s="4"/>
      <c r="I15" s="14">
        <f>F15-D15</f>
        <v>2.7861995483905204</v>
      </c>
      <c r="J15" s="15">
        <f>SQRT(G15*G15+E15*E15)</f>
        <v>2.06391037605803</v>
      </c>
      <c r="K15" s="15">
        <f>I15/J15</f>
        <v>1.3499615006112951</v>
      </c>
      <c r="L15" s="15">
        <f>IF(K15&gt;0,(1-NORMSDIST(K15)),(NORMSDIST(K15)))</f>
        <v>8.8514166257925853E-2</v>
      </c>
      <c r="M15" s="16" t="str">
        <f>IF(L15&lt;0.025,"Significativa","No significativa")</f>
        <v>No significativa</v>
      </c>
      <c r="O15" s="13" t="s">
        <v>12</v>
      </c>
      <c r="P15" s="46">
        <v>39.13806411031878</v>
      </c>
      <c r="Q15" s="36">
        <v>1.39436</v>
      </c>
      <c r="R15" s="14">
        <v>38.948100000000004</v>
      </c>
      <c r="S15" s="36">
        <v>1.1535</v>
      </c>
      <c r="T15" s="4"/>
      <c r="U15" s="14">
        <f t="shared" ref="U15:U32" si="0">R15-P15</f>
        <v>-0.18996411031877614</v>
      </c>
      <c r="V15" s="15">
        <f t="shared" ref="V15:V32" si="1">SQRT(S15*S15+Q15*Q15)</f>
        <v>1.8096414174084323</v>
      </c>
      <c r="W15" s="15">
        <f t="shared" ref="W15:W32" si="2">U15/V15</f>
        <v>-0.10497334360904585</v>
      </c>
      <c r="X15" s="15">
        <f>IF(W15&gt;0,(1-NORMSDIST(W15)),(NORMSDIST(W15)))</f>
        <v>0.45819848027585219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46">
        <v>7.8965578364245035</v>
      </c>
      <c r="E16" s="36">
        <v>0.83902999999999994</v>
      </c>
      <c r="F16" s="14">
        <v>5.5041600000000006</v>
      </c>
      <c r="G16" s="36">
        <v>0.49119000000000002</v>
      </c>
      <c r="H16" s="4"/>
      <c r="I16" s="14">
        <f>F16-D16</f>
        <v>-2.3923978364245029</v>
      </c>
      <c r="J16" s="15">
        <f>SQRT(G16*G16+E16*E16)</f>
        <v>0.97223400321116105</v>
      </c>
      <c r="K16" s="15">
        <f>I16/J16</f>
        <v>-2.4607222423024986</v>
      </c>
      <c r="L16" s="15">
        <f>IF(K16&gt;0,(1-NORMSDIST(K16)),(NORMSDIST(K16)))</f>
        <v>6.9328832797875975E-3</v>
      </c>
      <c r="M16" s="16" t="str">
        <f>IF(L16&lt;0.025,"Significativa","No significativa")</f>
        <v>Significativa</v>
      </c>
      <c r="O16" s="13" t="s">
        <v>13</v>
      </c>
      <c r="P16" s="46">
        <v>4.2457897510933842</v>
      </c>
      <c r="Q16" s="36">
        <v>0.53842000000000001</v>
      </c>
      <c r="R16" s="14">
        <v>5.5041600000000006</v>
      </c>
      <c r="S16" s="36">
        <v>0.49119000000000002</v>
      </c>
      <c r="T16" s="4"/>
      <c r="U16" s="14">
        <f t="shared" si="0"/>
        <v>1.2583702489066164</v>
      </c>
      <c r="V16" s="15">
        <f t="shared" si="1"/>
        <v>0.72880979171523219</v>
      </c>
      <c r="W16" s="15">
        <f t="shared" si="2"/>
        <v>1.7266099649197624</v>
      </c>
      <c r="X16" s="15">
        <f>IF(W16&gt;0,(1-NORMSDIST(W16)),(NORMSDIST(W16)))</f>
        <v>4.2118867541213856E-2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46">
        <v>36.22583737109278</v>
      </c>
      <c r="E17" s="36">
        <v>1.6644599999999998</v>
      </c>
      <c r="F17" s="14">
        <v>28.740500000000001</v>
      </c>
      <c r="G17" s="36">
        <v>0.92008999999999996</v>
      </c>
      <c r="H17" s="4"/>
      <c r="I17" s="14">
        <f>F17-D17</f>
        <v>-7.4853373710927791</v>
      </c>
      <c r="J17" s="15">
        <f>SQRT(G17*G17+E17*E17)</f>
        <v>1.9018392938679123</v>
      </c>
      <c r="K17" s="15">
        <f>I17/J17</f>
        <v>-3.935841159254466</v>
      </c>
      <c r="L17" s="15">
        <f>IF(K17&gt;0,(1-NORMSDIST(K17)),(NORMSDIST(K17)))</f>
        <v>4.1452898328668745E-5</v>
      </c>
      <c r="M17" s="16" t="str">
        <f>IF(L17&lt;0.025,"Significativa","No significativa")</f>
        <v>Significativa</v>
      </c>
      <c r="O17" s="13" t="s">
        <v>14</v>
      </c>
      <c r="P17" s="46">
        <v>29.422471335973636</v>
      </c>
      <c r="Q17" s="36">
        <v>1.2854700000000001</v>
      </c>
      <c r="R17" s="14">
        <v>28.740500000000001</v>
      </c>
      <c r="S17" s="36">
        <v>0.92008999999999996</v>
      </c>
      <c r="T17" s="4"/>
      <c r="U17" s="14">
        <f t="shared" si="0"/>
        <v>-0.68197133597363546</v>
      </c>
      <c r="V17" s="15">
        <f t="shared" si="1"/>
        <v>1.5808221686831192</v>
      </c>
      <c r="W17" s="15">
        <f t="shared" si="2"/>
        <v>-0.43140294302789395</v>
      </c>
      <c r="X17" s="15">
        <f>IF(W17&gt;0,(1-NORMSDIST(W17)),(NORMSDIST(W17)))</f>
        <v>0.33308770518601216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46">
        <v>4.5961076567210668</v>
      </c>
      <c r="E18" s="36">
        <v>0.60246</v>
      </c>
      <c r="F18" s="14">
        <v>8.63279</v>
      </c>
      <c r="G18" s="36">
        <v>0.66425000000000001</v>
      </c>
      <c r="H18" s="4"/>
      <c r="I18" s="14">
        <f>F18-D18</f>
        <v>4.0366823432789332</v>
      </c>
      <c r="J18" s="15">
        <f>SQRT(G18*G18+E18*E18)</f>
        <v>0.8967642466668706</v>
      </c>
      <c r="K18" s="15">
        <f>I18/J18</f>
        <v>4.501386354644084</v>
      </c>
      <c r="L18" s="15">
        <f>IF(K18&gt;0,(1-NORMSDIST(K18)),(NORMSDIST(K18)))</f>
        <v>3.3755829754733568E-6</v>
      </c>
      <c r="M18" s="16" t="str">
        <f>IF(L18&lt;0.025,"Significativa","No significativa")</f>
        <v>Significativa</v>
      </c>
      <c r="O18" s="13" t="s">
        <v>15</v>
      </c>
      <c r="P18" s="46">
        <v>7.4699813980561167</v>
      </c>
      <c r="Q18" s="36">
        <v>0.58567000000000002</v>
      </c>
      <c r="R18" s="14">
        <v>8.63279</v>
      </c>
      <c r="S18" s="36">
        <v>0.66425000000000001</v>
      </c>
      <c r="T18" s="4"/>
      <c r="U18" s="14">
        <f t="shared" si="0"/>
        <v>1.1628086019438832</v>
      </c>
      <c r="V18" s="15">
        <f t="shared" si="1"/>
        <v>0.88557179912190065</v>
      </c>
      <c r="W18" s="15">
        <f t="shared" si="2"/>
        <v>1.3130596560288845</v>
      </c>
      <c r="X18" s="15">
        <f>IF(W18&gt;0,(1-NORMSDIST(W18)),(NORMSDIST(W18)))</f>
        <v>9.4581423479804472E-2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15.119596684152167</v>
      </c>
      <c r="E19" s="36">
        <v>0.98902999999999996</v>
      </c>
      <c r="F19" s="14">
        <v>18.174499999999998</v>
      </c>
      <c r="G19" s="36">
        <v>0.92552000000000001</v>
      </c>
      <c r="H19" s="4"/>
      <c r="I19" s="14">
        <f>F19-D19</f>
        <v>3.0549033158478309</v>
      </c>
      <c r="J19" s="15">
        <f>SQRT(G19*G19+E19*E19)</f>
        <v>1.3545359394641399</v>
      </c>
      <c r="K19" s="15">
        <f>I19/J19</f>
        <v>2.255313592532926</v>
      </c>
      <c r="L19" s="15">
        <f>IF(K19&gt;0,(1-NORMSDIST(K19)),(NORMSDIST(K19)))</f>
        <v>1.2056826022823652E-2</v>
      </c>
      <c r="M19" s="16" t="str">
        <f>IF(L19&lt;0.025,"Significativa","No significativa")</f>
        <v>Significativa</v>
      </c>
      <c r="O19" s="13" t="s">
        <v>16</v>
      </c>
      <c r="P19" s="46">
        <v>19.72369340455808</v>
      </c>
      <c r="Q19" s="36">
        <v>1.07287</v>
      </c>
      <c r="R19" s="14">
        <v>18.174499999999998</v>
      </c>
      <c r="S19" s="36">
        <v>0.92552000000000001</v>
      </c>
      <c r="T19" s="4"/>
      <c r="U19" s="14">
        <f t="shared" si="0"/>
        <v>-1.549193404558082</v>
      </c>
      <c r="V19" s="15">
        <f t="shared" si="1"/>
        <v>1.4169111853958949</v>
      </c>
      <c r="W19" s="15">
        <f t="shared" si="2"/>
        <v>-1.0933595701167582</v>
      </c>
      <c r="X19" s="15">
        <f>IF(W19&gt;0,(1-NORMSDIST(W19)),(NORMSDIST(W19)))</f>
        <v>0.13711797869318904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D20" s="46"/>
      <c r="E20" s="36">
        <v>0</v>
      </c>
      <c r="F20" s="14"/>
      <c r="G20" s="36">
        <v>0</v>
      </c>
      <c r="H20" s="4"/>
      <c r="I20" s="14"/>
      <c r="J20" s="15"/>
      <c r="K20" s="15"/>
      <c r="L20" s="15"/>
      <c r="M20" s="16"/>
      <c r="O20" s="17" t="s">
        <v>17</v>
      </c>
      <c r="P20" s="46"/>
      <c r="Q20" s="36"/>
      <c r="R20" s="14"/>
      <c r="S20" s="36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80.284295659126769</v>
      </c>
      <c r="E21" s="36">
        <v>1.1113599999999999</v>
      </c>
      <c r="F21" s="14">
        <v>73.192700000000002</v>
      </c>
      <c r="G21" s="36">
        <v>1.1229199999999999</v>
      </c>
      <c r="H21" s="4"/>
      <c r="I21" s="14">
        <f>F21-D21</f>
        <v>-7.0915956591267673</v>
      </c>
      <c r="J21" s="15">
        <f>SQRT(G21*G21+E21*E21)</f>
        <v>1.5798956851640553</v>
      </c>
      <c r="K21" s="15">
        <f>I21/J21</f>
        <v>-4.4886480327277942</v>
      </c>
      <c r="L21" s="15">
        <f>IF(K21&gt;0,(1-NORMSDIST(K21)),(NORMSDIST(K21)))</f>
        <v>3.5838304190748839E-6</v>
      </c>
      <c r="M21" s="16" t="str">
        <f>IF(L21&lt;0.025,"Significativa","No significativa")</f>
        <v>Significativa</v>
      </c>
      <c r="O21" s="18" t="s">
        <v>18</v>
      </c>
      <c r="P21" s="46">
        <v>72.806325197385803</v>
      </c>
      <c r="Q21" s="36">
        <v>1.14669</v>
      </c>
      <c r="R21" s="14">
        <v>73.192700000000002</v>
      </c>
      <c r="S21" s="36">
        <v>1.1229199999999999</v>
      </c>
      <c r="T21" s="4"/>
      <c r="U21" s="14">
        <f t="shared" si="0"/>
        <v>0.3863748026141991</v>
      </c>
      <c r="V21" s="15">
        <f t="shared" si="1"/>
        <v>1.6049446353379295</v>
      </c>
      <c r="W21" s="15">
        <f t="shared" si="2"/>
        <v>0.24074026860923203</v>
      </c>
      <c r="X21" s="15">
        <f>IF(W21&gt;0,(1-NORMSDIST(W21)),(NORMSDIST(W21)))</f>
        <v>0.4048782134038621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30.558969618415006</v>
      </c>
      <c r="E22" s="36">
        <v>1.7288499999999998</v>
      </c>
      <c r="F22" s="14">
        <v>16.349</v>
      </c>
      <c r="G22" s="36">
        <v>0.9131800000000001</v>
      </c>
      <c r="H22" s="4"/>
      <c r="I22" s="14">
        <f>F22-D22</f>
        <v>-14.209969618415005</v>
      </c>
      <c r="J22" s="15">
        <f>SQRT(G22*G22+E22*E22)</f>
        <v>1.9552033231610464</v>
      </c>
      <c r="K22" s="15">
        <f>I22/J22</f>
        <v>-7.2677707991214158</v>
      </c>
      <c r="L22" s="15">
        <f>IF(K22&gt;0,(1-NORMSDIST(K22)),(NORMSDIST(K22)))</f>
        <v>1.8273409538970039E-13</v>
      </c>
      <c r="M22" s="16" t="str">
        <f>IF(L22&lt;0.025,"Significativa","No significativa")</f>
        <v>Significativa</v>
      </c>
      <c r="O22" s="18" t="s">
        <v>19</v>
      </c>
      <c r="P22" s="46">
        <v>14.096672438142166</v>
      </c>
      <c r="Q22" s="36">
        <v>0.87133000000000005</v>
      </c>
      <c r="R22" s="14">
        <v>16.349</v>
      </c>
      <c r="S22" s="36">
        <v>0.9131800000000001</v>
      </c>
      <c r="T22" s="4"/>
      <c r="U22" s="14">
        <f t="shared" si="0"/>
        <v>2.2523275618578342</v>
      </c>
      <c r="V22" s="15">
        <f t="shared" si="1"/>
        <v>1.2621860723760185</v>
      </c>
      <c r="W22" s="15">
        <f t="shared" si="2"/>
        <v>1.784465548425765</v>
      </c>
      <c r="X22" s="15">
        <f>IF(W22&gt;0,(1-NORMSDIST(W22)),(NORMSDIST(W22)))</f>
        <v>3.7174024065861344E-2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D23" s="46"/>
      <c r="E23" s="36">
        <v>0</v>
      </c>
      <c r="F23" s="14"/>
      <c r="G23" s="36">
        <v>0</v>
      </c>
      <c r="H23" s="4"/>
      <c r="I23" s="14"/>
      <c r="J23" s="15"/>
      <c r="K23" s="15"/>
      <c r="L23" s="15"/>
      <c r="M23" s="16"/>
      <c r="O23" s="19" t="s">
        <v>20</v>
      </c>
      <c r="P23" s="46"/>
      <c r="Q23" s="36"/>
      <c r="R23" s="14"/>
      <c r="S23" s="36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25.818765595851577</v>
      </c>
      <c r="E24" s="36">
        <v>0.84559000000000006</v>
      </c>
      <c r="F24" s="14">
        <v>18.286899999999999</v>
      </c>
      <c r="G24" s="36">
        <v>0</v>
      </c>
      <c r="H24" s="4"/>
      <c r="I24" s="14">
        <f>F24-D24</f>
        <v>-7.5318655958515777</v>
      </c>
      <c r="J24" s="15">
        <f>SQRT(G24*G24+E24*E24)</f>
        <v>0.84559000000000006</v>
      </c>
      <c r="K24" s="15">
        <f>I24/J24</f>
        <v>-8.9072311591333584</v>
      </c>
      <c r="L24" s="15">
        <f>IF(K24&gt;0,(1-NORMSDIST(K24)),(NORMSDIST(K24)))</f>
        <v>2.6161443819696309E-19</v>
      </c>
      <c r="M24" s="16" t="str">
        <f>IF(L24&lt;0.025,"Significativa","No significativa")</f>
        <v>Significativa</v>
      </c>
      <c r="O24" s="20" t="s">
        <v>21</v>
      </c>
      <c r="P24" s="46">
        <v>19.018140583486783</v>
      </c>
      <c r="Q24" s="36">
        <v>0.66979</v>
      </c>
      <c r="R24" s="14">
        <v>18.286899999999999</v>
      </c>
      <c r="S24" s="36">
        <v>0</v>
      </c>
      <c r="T24" s="4"/>
      <c r="U24" s="14">
        <f t="shared" si="0"/>
        <v>-0.73124058348678389</v>
      </c>
      <c r="V24" s="15">
        <f t="shared" si="1"/>
        <v>0.66979</v>
      </c>
      <c r="W24" s="15">
        <f t="shared" si="2"/>
        <v>-1.0917460450093073</v>
      </c>
      <c r="X24" s="15">
        <f>IF(W24&gt;0,(1-NORMSDIST(W24)),(NORMSDIST(W24)))</f>
        <v>0.13747237019571787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36.178654564111703</v>
      </c>
      <c r="E25" s="36">
        <v>1.6219899999999998</v>
      </c>
      <c r="F25" s="14">
        <v>24.848200000000002</v>
      </c>
      <c r="G25" s="36">
        <v>0.94999</v>
      </c>
      <c r="H25" s="4"/>
      <c r="I25" s="14">
        <f>F25-D25</f>
        <v>-11.330454564111701</v>
      </c>
      <c r="J25" s="15">
        <f>SQRT(G25*G25+E25*E25)</f>
        <v>1.8797160849979444</v>
      </c>
      <c r="K25" s="15">
        <f>I25/J25</f>
        <v>-6.0277478362505432</v>
      </c>
      <c r="L25" s="15">
        <f>IF(K25&gt;0,(1-NORMSDIST(K25)),(NORMSDIST(K25)))</f>
        <v>8.3130091210884665E-10</v>
      </c>
      <c r="M25" s="16" t="str">
        <f>IF(L25&lt;0.025,"Significativa","No significativa")</f>
        <v>Significativa</v>
      </c>
      <c r="O25" s="18" t="s">
        <v>22</v>
      </c>
      <c r="P25" s="46">
        <v>13.659419463775832</v>
      </c>
      <c r="Q25" s="36">
        <v>0.67535000000000001</v>
      </c>
      <c r="R25" s="14">
        <v>24.848200000000002</v>
      </c>
      <c r="S25" s="36">
        <v>0.94999</v>
      </c>
      <c r="T25" s="4"/>
      <c r="U25" s="14">
        <f t="shared" si="0"/>
        <v>11.18878053622417</v>
      </c>
      <c r="V25" s="15">
        <f t="shared" si="1"/>
        <v>1.1655808091247899</v>
      </c>
      <c r="W25" s="15">
        <f t="shared" si="2"/>
        <v>9.5993177381031103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66.661369140941133</v>
      </c>
      <c r="E26" s="36">
        <v>1.40296</v>
      </c>
      <c r="F26" s="14">
        <v>56.173799999999993</v>
      </c>
      <c r="G26" s="36">
        <v>1.1839600000000001</v>
      </c>
      <c r="H26" s="4"/>
      <c r="I26" s="14">
        <f>F26-D26</f>
        <v>-10.48756914094114</v>
      </c>
      <c r="J26" s="15">
        <f>SQRT(G26*G26+E26*E26)</f>
        <v>1.8357717840733909</v>
      </c>
      <c r="K26" s="15">
        <f>I26/J26</f>
        <v>-5.7128937441615379</v>
      </c>
      <c r="L26" s="15">
        <f>IF(K26&gt;0,(1-NORMSDIST(K26)),(NORMSDIST(K26)))</f>
        <v>5.5535518309185636E-9</v>
      </c>
      <c r="M26" s="16" t="str">
        <f>IF(L26&lt;0.025,"Significativa","No significativa")</f>
        <v>Significativa</v>
      </c>
      <c r="O26" s="18" t="s">
        <v>23</v>
      </c>
      <c r="P26" s="46">
        <v>57.061563448454379</v>
      </c>
      <c r="Q26" s="36">
        <v>1.3584400000000001</v>
      </c>
      <c r="R26" s="14">
        <v>56.173799999999993</v>
      </c>
      <c r="S26" s="36">
        <v>1.1839600000000001</v>
      </c>
      <c r="T26" s="4"/>
      <c r="U26" s="14">
        <f t="shared" si="0"/>
        <v>-0.88776344845438615</v>
      </c>
      <c r="V26" s="15">
        <f t="shared" si="1"/>
        <v>1.8019768353672032</v>
      </c>
      <c r="W26" s="15">
        <f t="shared" si="2"/>
        <v>-0.49266085502896018</v>
      </c>
      <c r="X26" s="15">
        <f>IF(W26&gt;0,(1-NORMSDIST(W26)),(NORMSDIST(W26)))</f>
        <v>0.3111261205711322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13.205705123587242</v>
      </c>
      <c r="E27" s="36">
        <v>1.2595699999999999</v>
      </c>
      <c r="F27" s="14">
        <v>5.9437199999999999</v>
      </c>
      <c r="G27" s="36">
        <v>0.58721000000000001</v>
      </c>
      <c r="H27" s="4"/>
      <c r="I27" s="14">
        <f>F27-D27</f>
        <v>-7.2619851235872419</v>
      </c>
      <c r="J27" s="15">
        <f>SQRT(G27*G27+E27*E27)</f>
        <v>1.389723774352299</v>
      </c>
      <c r="K27" s="15">
        <f>I27/J27</f>
        <v>-5.2254881564300764</v>
      </c>
      <c r="L27" s="15">
        <f>IF(K27&gt;0,(1-NORMSDIST(K27)),(NORMSDIST(K27)))</f>
        <v>8.6848119661338503E-8</v>
      </c>
      <c r="M27" s="16" t="str">
        <f>IF(L27&lt;0.025,"Significativa","No significativa")</f>
        <v>Significativa</v>
      </c>
      <c r="O27" s="18" t="s">
        <v>24</v>
      </c>
      <c r="P27" s="46">
        <v>9.0884142211659817</v>
      </c>
      <c r="Q27" s="36">
        <v>0.92974000000000012</v>
      </c>
      <c r="R27" s="14">
        <v>5.9437199999999999</v>
      </c>
      <c r="S27" s="36">
        <v>0.58721000000000001</v>
      </c>
      <c r="T27" s="4"/>
      <c r="U27" s="14">
        <f t="shared" si="0"/>
        <v>-3.1446942211659819</v>
      </c>
      <c r="V27" s="15">
        <f t="shared" si="1"/>
        <v>1.0996508771878466</v>
      </c>
      <c r="W27" s="15">
        <f t="shared" si="2"/>
        <v>-2.8597205589540882</v>
      </c>
      <c r="X27" s="15">
        <f>IF(W27&gt;0,(1-NORMSDIST(W27)),(NORMSDIST(W27)))</f>
        <v>2.120072263636307E-3</v>
      </c>
      <c r="Y27" s="16" t="str">
        <f>IF(X27&lt;0.025,"Significativa","No significativa")</f>
        <v>Significativa</v>
      </c>
    </row>
    <row r="28" spans="3:25" x14ac:dyDescent="0.25">
      <c r="C28" s="18" t="s">
        <v>25</v>
      </c>
      <c r="D28" s="46">
        <v>16.24335036790308</v>
      </c>
      <c r="E28" s="36">
        <v>2.0249699999999997</v>
      </c>
      <c r="F28" s="14">
        <v>10.462100000000001</v>
      </c>
      <c r="G28" s="36">
        <v>1.24495</v>
      </c>
      <c r="H28" s="4"/>
      <c r="I28" s="14">
        <f>F28-D28</f>
        <v>-5.7812503679030787</v>
      </c>
      <c r="J28" s="15">
        <f>SQRT(G28*G28+E28*E28)</f>
        <v>2.3770578460357248</v>
      </c>
      <c r="K28" s="15">
        <f>I28/J28</f>
        <v>-2.4321033573266235</v>
      </c>
      <c r="L28" s="15">
        <f>IF(K28&gt;0,(1-NORMSDIST(K28)),(NORMSDIST(K28)))</f>
        <v>7.5057114944578002E-3</v>
      </c>
      <c r="M28" s="16" t="str">
        <f>IF(L28&lt;0.025,"Significativa","No significativa")</f>
        <v>Significativa</v>
      </c>
      <c r="O28" s="18" t="s">
        <v>25</v>
      </c>
      <c r="P28" s="46">
        <v>11.946702815505466</v>
      </c>
      <c r="Q28" s="36">
        <v>1.18563</v>
      </c>
      <c r="R28" s="14">
        <v>10.462100000000001</v>
      </c>
      <c r="S28" s="36">
        <v>1.24495</v>
      </c>
      <c r="T28" s="4"/>
      <c r="U28" s="14">
        <f t="shared" si="0"/>
        <v>-1.4846028155054647</v>
      </c>
      <c r="V28" s="15">
        <f t="shared" si="1"/>
        <v>1.7191913795153813</v>
      </c>
      <c r="W28" s="15">
        <f t="shared" si="2"/>
        <v>-0.86354714966285828</v>
      </c>
      <c r="X28" s="15">
        <f>IF(W28&gt;0,(1-NORMSDIST(W28)),(NORMSDIST(W28)))</f>
        <v>0.19391835380814187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27.092866359190211</v>
      </c>
      <c r="E29" s="36">
        <v>1.48766</v>
      </c>
      <c r="F29" s="14">
        <v>22.768799999999999</v>
      </c>
      <c r="G29" s="36">
        <v>1.13967</v>
      </c>
      <c r="H29" s="4"/>
      <c r="I29" s="14">
        <f>F29-D29</f>
        <v>-4.324066359190212</v>
      </c>
      <c r="J29" s="15">
        <f>SQRT(G29*G29+E29*E29)</f>
        <v>1.8740277437914306</v>
      </c>
      <c r="K29" s="15">
        <f>I29/J29</f>
        <v>-2.3073651782988001</v>
      </c>
      <c r="L29" s="15">
        <f>IF(K29&gt;0,(1-NORMSDIST(K29)),(NORMSDIST(K29)))</f>
        <v>1.0517235382228969E-2</v>
      </c>
      <c r="M29" s="16" t="str">
        <f>IF(L29&lt;0.025,"Significativa","No significativa")</f>
        <v>Significativa</v>
      </c>
      <c r="O29" s="18" t="s">
        <v>26</v>
      </c>
      <c r="P29" s="46">
        <v>20.691494070043628</v>
      </c>
      <c r="Q29" s="36">
        <v>1.40866</v>
      </c>
      <c r="R29" s="14">
        <v>22.768799999999999</v>
      </c>
      <c r="S29" s="36">
        <v>1.13967</v>
      </c>
      <c r="T29" s="4"/>
      <c r="U29" s="14">
        <f t="shared" si="0"/>
        <v>2.0773059299563705</v>
      </c>
      <c r="V29" s="15">
        <f t="shared" si="1"/>
        <v>1.811952180522433</v>
      </c>
      <c r="W29" s="15">
        <f t="shared" si="2"/>
        <v>1.1464463313581648</v>
      </c>
      <c r="X29" s="15">
        <f>IF(W29&gt;0,(1-NORMSDIST(W29)),(NORMSDIST(W29)))</f>
        <v>0.12580526078187759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E30" s="1">
        <v>0</v>
      </c>
      <c r="F30" s="14"/>
      <c r="G30" s="36">
        <v>0</v>
      </c>
      <c r="H30" s="4"/>
      <c r="I30" s="14"/>
      <c r="J30" s="15"/>
      <c r="K30" s="15"/>
      <c r="L30" s="15"/>
      <c r="M30" s="16"/>
      <c r="O30" s="8" t="s">
        <v>27</v>
      </c>
      <c r="P30" s="46"/>
      <c r="Q30" s="36"/>
      <c r="R30" s="14"/>
      <c r="S30" s="36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12.996297047848387</v>
      </c>
      <c r="E31" s="36">
        <v>1.1724399999999999</v>
      </c>
      <c r="F31" s="14">
        <v>18.0136</v>
      </c>
      <c r="G31" s="36">
        <v>1.0004900000000001</v>
      </c>
      <c r="H31" s="22"/>
      <c r="I31" s="14">
        <f>F31-D31</f>
        <v>5.0173029521516135</v>
      </c>
      <c r="J31" s="15">
        <f>SQRT(((G31^2)+(E31^2)))</f>
        <v>1.5412967896222973</v>
      </c>
      <c r="K31" s="15">
        <f>(F31-D31)/SQRT(((G31^2)+(E31^2)))</f>
        <v>3.2552477796188293</v>
      </c>
      <c r="L31" s="15">
        <f>IF(K31&gt;0,(1-NORMSDIST(K31)),(NORMSDIST(K31)))</f>
        <v>5.6646738188115275E-4</v>
      </c>
      <c r="M31" s="16" t="str">
        <f>IF(L31&lt;0.025,"Significativa","No significativa")</f>
        <v>Significativa</v>
      </c>
      <c r="O31" s="21" t="s">
        <v>28</v>
      </c>
      <c r="P31" s="46">
        <v>15.932725875478294</v>
      </c>
      <c r="Q31" s="36">
        <v>1.12924</v>
      </c>
      <c r="R31" s="14">
        <v>18.0136</v>
      </c>
      <c r="S31" s="36">
        <v>1.0004900000000001</v>
      </c>
      <c r="T31" s="22"/>
      <c r="U31" s="14">
        <f t="shared" si="0"/>
        <v>2.0808741245217064</v>
      </c>
      <c r="V31" s="15">
        <f t="shared" si="1"/>
        <v>1.5086958665350683</v>
      </c>
      <c r="W31" s="15">
        <f t="shared" si="2"/>
        <v>1.3792535465088307</v>
      </c>
      <c r="X31" s="15">
        <f>IF(W31&gt;0,(1-NORMSDIST(W31)),(NORMSDIST(W31)))</f>
        <v>8.3908296848202779E-2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48.654565944755056</v>
      </c>
      <c r="E32" s="33">
        <v>2.0376700000000003</v>
      </c>
      <c r="F32" s="32">
        <v>53.085000000000008</v>
      </c>
      <c r="G32" s="33">
        <v>1.2795300000000001</v>
      </c>
      <c r="H32" s="24"/>
      <c r="I32" s="32">
        <f>F32-D32</f>
        <v>4.4304340552449517</v>
      </c>
      <c r="J32" s="25">
        <f>SQRT(((G32^2)+(E32^2)))</f>
        <v>2.4060956027971958</v>
      </c>
      <c r="K32" s="25">
        <f>(F32-D32)/SQRT(((G32^2)+(E32^2)))</f>
        <v>1.8413374971860512</v>
      </c>
      <c r="L32" s="25">
        <f>IF(K32&gt;0,(1-NORMSDIST(K32)),(NORMSDIST(K32)))</f>
        <v>3.2786057996037732E-2</v>
      </c>
      <c r="M32" s="26" t="str">
        <f>IF(L32&lt;0.025,"Significativa","No significativa")</f>
        <v>No significativa</v>
      </c>
      <c r="O32" s="23" t="s">
        <v>29</v>
      </c>
      <c r="P32" s="30">
        <v>50.853835259468283</v>
      </c>
      <c r="Q32" s="33">
        <v>1.72577</v>
      </c>
      <c r="R32" s="32">
        <v>53.085000000000008</v>
      </c>
      <c r="S32" s="33">
        <v>1.2795300000000001</v>
      </c>
      <c r="T32" s="24"/>
      <c r="U32" s="32">
        <f t="shared" si="0"/>
        <v>2.2311647405317245</v>
      </c>
      <c r="V32" s="25">
        <f t="shared" si="1"/>
        <v>2.1483666153149934</v>
      </c>
      <c r="W32" s="25">
        <f t="shared" si="2"/>
        <v>1.0385400353117065</v>
      </c>
      <c r="X32" s="25">
        <f>IF(W32&gt;0,(1-NORMSDIST(W32)),(NORMSDIST(W32)))</f>
        <v>0.14950935323782522</v>
      </c>
      <c r="Y32" s="26" t="str">
        <f>IF(X32&lt;0.025,"Significativa","No significativa")</f>
        <v>No significativa</v>
      </c>
    </row>
    <row r="33" spans="1:2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64</v>
      </c>
      <c r="P34" s="4"/>
      <c r="Q34" s="4"/>
      <c r="R34" s="4"/>
      <c r="S34" s="4"/>
      <c r="T34" s="4"/>
      <c r="U34" s="4"/>
      <c r="V34" s="4"/>
      <c r="W34" s="4"/>
      <c r="X34" s="4"/>
      <c r="Y34" s="28"/>
    </row>
  </sheetData>
  <mergeCells count="18">
    <mergeCell ref="O9:Y9"/>
    <mergeCell ref="O10:Y10"/>
    <mergeCell ref="O11:O12"/>
    <mergeCell ref="P11:Q11"/>
    <mergeCell ref="R11:S11"/>
    <mergeCell ref="W11:W12"/>
    <mergeCell ref="X11:X12"/>
    <mergeCell ref="Y11:Y12"/>
    <mergeCell ref="U12:V12"/>
    <mergeCell ref="K11:K12"/>
    <mergeCell ref="L11:L12"/>
    <mergeCell ref="M11:M12"/>
    <mergeCell ref="I12:J12"/>
    <mergeCell ref="C11:C12"/>
    <mergeCell ref="C9:M9"/>
    <mergeCell ref="C10:M10"/>
    <mergeCell ref="D11:E11"/>
    <mergeCell ref="F11:G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1CDE-011C-4DA0-A600-83DEFD2D6709}">
  <dimension ref="A4:Y34"/>
  <sheetViews>
    <sheetView zoomScaleNormal="100" workbookViewId="0">
      <selection activeCell="J2" sqref="J2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1.5703125" style="1" bestFit="1" customWidth="1"/>
    <col min="10" max="10" width="13.570312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1.5703125" style="1" bestFit="1" customWidth="1"/>
    <col min="22" max="22" width="13.570312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6" customHeight="1" x14ac:dyDescent="0.25">
      <c r="A9" s="41"/>
      <c r="C9" s="54" t="s">
        <v>74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73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149999999999999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40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39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61" t="s">
        <v>9</v>
      </c>
      <c r="J12" s="61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61" t="s">
        <v>34</v>
      </c>
      <c r="V12" s="61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x14ac:dyDescent="0.25">
      <c r="C14" s="13" t="s">
        <v>11</v>
      </c>
      <c r="D14" s="46">
        <v>68.443182485430441</v>
      </c>
      <c r="E14" s="36">
        <v>1.7442300000000002</v>
      </c>
      <c r="F14" s="14">
        <v>65.617099999999994</v>
      </c>
      <c r="G14" s="36">
        <v>1.6316399999999998</v>
      </c>
      <c r="H14" s="4"/>
      <c r="I14" s="14">
        <f>F14-D14</f>
        <v>-2.8260824854304474</v>
      </c>
      <c r="J14" s="15">
        <f>SQRT(G14*G14+E14*E14)</f>
        <v>2.3884278055867627</v>
      </c>
      <c r="K14" s="15">
        <f>I14/J14</f>
        <v>-1.183239651966858</v>
      </c>
      <c r="L14" s="15">
        <f>IF(K14&gt;0,(1-NORMSDIST(K14)),(NORMSDIST(K14)))</f>
        <v>0.11835709112624565</v>
      </c>
      <c r="M14" s="16" t="str">
        <f>IF(L14&lt;0.025,"Significativa","No significativa")</f>
        <v>No significativa</v>
      </c>
      <c r="O14" s="13" t="s">
        <v>11</v>
      </c>
      <c r="P14" s="46">
        <v>66.469488282274725</v>
      </c>
      <c r="Q14" s="36">
        <v>1.7704500000000001</v>
      </c>
      <c r="R14" s="14">
        <v>65.617099999999994</v>
      </c>
      <c r="S14" s="36">
        <v>1.63164</v>
      </c>
      <c r="T14" s="4"/>
      <c r="U14" s="14">
        <f>R14-P14</f>
        <v>-0.85238828227473107</v>
      </c>
      <c r="V14" s="15">
        <f>SQRT(S14*S14+Q14*Q14)</f>
        <v>2.4076424759710484</v>
      </c>
      <c r="W14" s="15">
        <f>U14/V14</f>
        <v>-0.3540344095029917</v>
      </c>
      <c r="X14" s="15">
        <f>IF(W14&gt;0,(1-NORMSDIST(W14)),(NORMSDIST(W14)))</f>
        <v>0.36165654802965624</v>
      </c>
      <c r="Y14" s="16" t="str">
        <f>IF(X14&lt;0.025,"Significativa","No significativa")</f>
        <v>No significativa</v>
      </c>
    </row>
    <row r="15" spans="1:25" x14ac:dyDescent="0.25">
      <c r="C15" s="13" t="s">
        <v>12</v>
      </c>
      <c r="D15" s="46">
        <v>36.037935880666389</v>
      </c>
      <c r="E15" s="36">
        <v>1.4349000000000001</v>
      </c>
      <c r="F15" s="14">
        <v>38.731500000000004</v>
      </c>
      <c r="G15" s="36">
        <v>1.3562100000000001</v>
      </c>
      <c r="H15" s="4"/>
      <c r="I15" s="14">
        <f>F15-D15</f>
        <v>2.6935641193336153</v>
      </c>
      <c r="J15" s="15">
        <f>SQRT(G15*G15+E15*E15)</f>
        <v>1.9743970153188544</v>
      </c>
      <c r="K15" s="15">
        <f>I15/J15</f>
        <v>1.3642464501490443</v>
      </c>
      <c r="L15" s="15">
        <f>IF(K15&gt;0,(1-NORMSDIST(K15)),(NORMSDIST(K15)))</f>
        <v>8.6245006694354753E-2</v>
      </c>
      <c r="M15" s="16" t="str">
        <f>IF(L15&lt;0.025,"Significativa","No significativa")</f>
        <v>No significativa</v>
      </c>
      <c r="O15" s="13" t="s">
        <v>12</v>
      </c>
      <c r="P15" s="46">
        <v>39.700945045400537</v>
      </c>
      <c r="Q15" s="36">
        <v>1.59274</v>
      </c>
      <c r="R15" s="14">
        <v>38.731500000000004</v>
      </c>
      <c r="S15" s="36">
        <v>1.3562100000000001</v>
      </c>
      <c r="T15" s="4"/>
      <c r="U15" s="14">
        <f t="shared" ref="U15:U32" si="0">R15-P15</f>
        <v>-0.96944504540053344</v>
      </c>
      <c r="V15" s="15">
        <f t="shared" ref="V15:V32" si="1">SQRT(S15*S15+Q15*Q15)</f>
        <v>2.0919192794417283</v>
      </c>
      <c r="W15" s="15">
        <f t="shared" ref="W15:W32" si="2">U15/V15</f>
        <v>-0.46342373481028859</v>
      </c>
      <c r="X15" s="15">
        <f>IF(W15&gt;0,(1-NORMSDIST(W15)),(NORMSDIST(W15)))</f>
        <v>0.32153033454427787</v>
      </c>
      <c r="Y15" s="16" t="str">
        <f>IF(X15&lt;0.025,"Significativa","No significativa")</f>
        <v>No significativa</v>
      </c>
    </row>
    <row r="16" spans="1:25" x14ac:dyDescent="0.25">
      <c r="C16" s="13" t="s">
        <v>13</v>
      </c>
      <c r="D16" s="46">
        <v>32.405246604764052</v>
      </c>
      <c r="E16" s="36">
        <v>2.04691</v>
      </c>
      <c r="F16" s="14">
        <v>26.885599999999997</v>
      </c>
      <c r="G16" s="36">
        <v>1.81406</v>
      </c>
      <c r="H16" s="4"/>
      <c r="I16" s="14">
        <f>F16-D16</f>
        <v>-5.5196466047640556</v>
      </c>
      <c r="J16" s="15">
        <f>SQRT(G16*G16+E16*E16)</f>
        <v>2.7350784690205874</v>
      </c>
      <c r="K16" s="15">
        <f>I16/J16</f>
        <v>-2.018094422987653</v>
      </c>
      <c r="L16" s="15">
        <f>IF(K16&gt;0,(1-NORMSDIST(K16)),(NORMSDIST(K16)))</f>
        <v>2.1790714202993621E-2</v>
      </c>
      <c r="M16" s="16" t="str">
        <f>IF(L16&lt;0.025,"Significativa","No significativa")</f>
        <v>Significativa</v>
      </c>
      <c r="O16" s="13" t="s">
        <v>13</v>
      </c>
      <c r="P16" s="46">
        <v>26.768543236874187</v>
      </c>
      <c r="Q16" s="36">
        <v>2.2398099999999999</v>
      </c>
      <c r="R16" s="14">
        <v>26.885599999999997</v>
      </c>
      <c r="S16" s="36">
        <v>1.81406</v>
      </c>
      <c r="T16" s="4"/>
      <c r="U16" s="14">
        <f t="shared" si="0"/>
        <v>0.11705676312580948</v>
      </c>
      <c r="V16" s="15">
        <f t="shared" si="1"/>
        <v>2.8822842537994062</v>
      </c>
      <c r="W16" s="15">
        <f t="shared" si="2"/>
        <v>4.0612497872652947E-2</v>
      </c>
      <c r="X16" s="15">
        <f>IF(W16&gt;0,(1-NORMSDIST(W16)),(NORMSDIST(W16)))</f>
        <v>0.48380241025811954</v>
      </c>
      <c r="Y16" s="16" t="str">
        <f>IF(X16&lt;0.025,"Significativa","No significativa")</f>
        <v>No significativa</v>
      </c>
    </row>
    <row r="17" spans="3:25" x14ac:dyDescent="0.25">
      <c r="C17" s="13" t="s">
        <v>14</v>
      </c>
      <c r="D17" s="46">
        <v>22.811689401894963</v>
      </c>
      <c r="E17" s="36">
        <v>1.53331</v>
      </c>
      <c r="F17" s="14">
        <v>23.8004</v>
      </c>
      <c r="G17" s="36">
        <v>1.3296399999999999</v>
      </c>
      <c r="H17" s="4"/>
      <c r="I17" s="14">
        <f>F17-D17</f>
        <v>0.98871059810503681</v>
      </c>
      <c r="J17" s="15">
        <f>SQRT(G17*G17+E17*E17)</f>
        <v>2.0295275523382283</v>
      </c>
      <c r="K17" s="15">
        <f>I17/J17</f>
        <v>0.48716293452923987</v>
      </c>
      <c r="L17" s="15">
        <f>IF(K17&gt;0,(1-NORMSDIST(K17)),(NORMSDIST(K17)))</f>
        <v>0.31307143496691092</v>
      </c>
      <c r="M17" s="16" t="str">
        <f>IF(L17&lt;0.025,"Significativa","No significativa")</f>
        <v>No significativa</v>
      </c>
      <c r="O17" s="13" t="s">
        <v>14</v>
      </c>
      <c r="P17" s="46">
        <v>23.237436319106582</v>
      </c>
      <c r="Q17" s="36">
        <v>1.4407700000000001</v>
      </c>
      <c r="R17" s="14">
        <v>23.8004</v>
      </c>
      <c r="S17" s="36">
        <v>1.3296399999999999</v>
      </c>
      <c r="T17" s="4"/>
      <c r="U17" s="14">
        <f t="shared" si="0"/>
        <v>0.56296368089341797</v>
      </c>
      <c r="V17" s="15">
        <f t="shared" si="1"/>
        <v>1.9605511272343805</v>
      </c>
      <c r="W17" s="15">
        <f t="shared" si="2"/>
        <v>0.28714562608094463</v>
      </c>
      <c r="X17" s="15">
        <f>IF(W17&gt;0,(1-NORMSDIST(W17)),(NORMSDIST(W17)))</f>
        <v>0.38700040895164367</v>
      </c>
      <c r="Y17" s="16" t="str">
        <f>IF(X17&lt;0.025,"Significativa","No significativa")</f>
        <v>No significativa</v>
      </c>
    </row>
    <row r="18" spans="3:25" x14ac:dyDescent="0.25">
      <c r="C18" s="13" t="s">
        <v>15</v>
      </c>
      <c r="D18" s="46">
        <v>1.9930441443373983</v>
      </c>
      <c r="E18" s="36">
        <v>0.32878000000000002</v>
      </c>
      <c r="F18" s="14">
        <v>3.5773100000000002</v>
      </c>
      <c r="G18" s="36">
        <v>0.41654999999999998</v>
      </c>
      <c r="H18" s="4"/>
      <c r="I18" s="14">
        <f>F18-D18</f>
        <v>1.5842658556626019</v>
      </c>
      <c r="J18" s="15">
        <f>SQRT(G18*G18+E18*E18)</f>
        <v>0.5306695684698719</v>
      </c>
      <c r="K18" s="15">
        <f>I18/J18</f>
        <v>2.9854092825233236</v>
      </c>
      <c r="L18" s="15">
        <f>IF(K18&gt;0,(1-NORMSDIST(K18)),(NORMSDIST(K18)))</f>
        <v>1.4159956239593319E-3</v>
      </c>
      <c r="M18" s="16" t="str">
        <f>IF(L18&lt;0.025,"Significativa","No significativa")</f>
        <v>Significativa</v>
      </c>
      <c r="O18" s="13" t="s">
        <v>15</v>
      </c>
      <c r="P18" s="46">
        <v>3.0416926607425889</v>
      </c>
      <c r="Q18" s="36">
        <v>0.42389999999999994</v>
      </c>
      <c r="R18" s="14">
        <v>3.5773100000000002</v>
      </c>
      <c r="S18" s="36">
        <v>0.41654999999999998</v>
      </c>
      <c r="T18" s="4"/>
      <c r="U18" s="14">
        <f t="shared" si="0"/>
        <v>0.53561733925741128</v>
      </c>
      <c r="V18" s="15">
        <f t="shared" si="1"/>
        <v>0.59431061954166697</v>
      </c>
      <c r="W18" s="15">
        <f t="shared" si="2"/>
        <v>0.90124140751595516</v>
      </c>
      <c r="X18" s="15">
        <f>IF(W18&gt;0,(1-NORMSDIST(W18)),(NORMSDIST(W18)))</f>
        <v>0.18372998966162535</v>
      </c>
      <c r="Y18" s="16" t="str">
        <f>IF(X18&lt;0.025,"Significativa","No significativa")</f>
        <v>No significativa</v>
      </c>
    </row>
    <row r="19" spans="3:25" x14ac:dyDescent="0.25">
      <c r="C19" s="13" t="s">
        <v>16</v>
      </c>
      <c r="D19" s="46">
        <v>6.7520839683371952</v>
      </c>
      <c r="E19" s="36">
        <v>0.56493000000000004</v>
      </c>
      <c r="F19" s="14">
        <v>7.0052000000000003</v>
      </c>
      <c r="G19" s="36">
        <v>0.62814000000000003</v>
      </c>
      <c r="H19" s="4"/>
      <c r="I19" s="14">
        <f>F19-D19</f>
        <v>0.25311603166280516</v>
      </c>
      <c r="J19" s="15">
        <f>SQRT(G19*G19+E19*E19)</f>
        <v>0.84481108213611888</v>
      </c>
      <c r="K19" s="15">
        <f>I19/J19</f>
        <v>0.29961258441685812</v>
      </c>
      <c r="L19" s="15">
        <f>IF(K19&gt;0,(1-NORMSDIST(K19)),(NORMSDIST(K19)))</f>
        <v>0.38223634197703571</v>
      </c>
      <c r="M19" s="16" t="str">
        <f>IF(L19&lt;0.025,"Significativa","No significativa")</f>
        <v>No significativa</v>
      </c>
      <c r="O19" s="13" t="s">
        <v>16</v>
      </c>
      <c r="P19" s="46">
        <v>7.2513827378761055</v>
      </c>
      <c r="Q19" s="36">
        <v>0.72506000000000004</v>
      </c>
      <c r="R19" s="14">
        <v>7.0052000000000003</v>
      </c>
      <c r="S19" s="36">
        <v>0.62814000000000003</v>
      </c>
      <c r="T19" s="4"/>
      <c r="U19" s="14">
        <f t="shared" si="0"/>
        <v>-0.24618273787610523</v>
      </c>
      <c r="V19" s="15">
        <f t="shared" si="1"/>
        <v>0.95930801268414312</v>
      </c>
      <c r="W19" s="15">
        <f t="shared" si="2"/>
        <v>-0.25662533265753312</v>
      </c>
      <c r="X19" s="15">
        <f>IF(W19&gt;0,(1-NORMSDIST(W19)),(NORMSDIST(W19)))</f>
        <v>0.39873400856389268</v>
      </c>
      <c r="Y19" s="16" t="str">
        <f>IF(X19&lt;0.025,"Significativa","No significativa")</f>
        <v>No significativa</v>
      </c>
    </row>
    <row r="20" spans="3:25" x14ac:dyDescent="0.25">
      <c r="C20" s="17" t="s">
        <v>17</v>
      </c>
      <c r="D20" s="46"/>
      <c r="E20" s="36"/>
      <c r="F20" s="14"/>
      <c r="G20" s="36"/>
      <c r="H20" s="4"/>
      <c r="I20" s="14"/>
      <c r="J20" s="15"/>
      <c r="K20" s="15"/>
      <c r="L20" s="15"/>
      <c r="M20" s="16"/>
      <c r="O20" s="17" t="s">
        <v>17</v>
      </c>
      <c r="P20" s="46"/>
      <c r="Q20" s="36"/>
      <c r="R20" s="14"/>
      <c r="S20" s="36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91.254871887325407</v>
      </c>
      <c r="E21" s="36">
        <v>0.69557999999999998</v>
      </c>
      <c r="F21" s="14">
        <v>89.417500000000004</v>
      </c>
      <c r="G21" s="36">
        <v>0.75578000000000001</v>
      </c>
      <c r="H21" s="4"/>
      <c r="I21" s="14">
        <f>F21-D21</f>
        <v>-1.8373718873254035</v>
      </c>
      <c r="J21" s="15">
        <f>SQRT(G21*G21+E21*E21)</f>
        <v>1.0271489399303297</v>
      </c>
      <c r="K21" s="15">
        <f>I21/J21</f>
        <v>-1.7888076557329944</v>
      </c>
      <c r="L21" s="15">
        <f>IF(K21&gt;0,(1-NORMSDIST(K21)),(NORMSDIST(K21)))</f>
        <v>3.6822898787285653E-2</v>
      </c>
      <c r="M21" s="16" t="str">
        <f>IF(L21&lt;0.025,"Significativa","No significativa")</f>
        <v>No significativa</v>
      </c>
      <c r="O21" s="18" t="s">
        <v>18</v>
      </c>
      <c r="P21" s="46">
        <v>89.706924601381317</v>
      </c>
      <c r="Q21" s="36">
        <v>0.7950799999999999</v>
      </c>
      <c r="R21" s="14">
        <v>89.417500000000004</v>
      </c>
      <c r="S21" s="36">
        <v>0.75578000000000001</v>
      </c>
      <c r="T21" s="4"/>
      <c r="U21" s="14">
        <f t="shared" si="0"/>
        <v>-0.2894246013813131</v>
      </c>
      <c r="V21" s="15">
        <f t="shared" si="1"/>
        <v>1.0969756673691535</v>
      </c>
      <c r="W21" s="15">
        <f t="shared" si="2"/>
        <v>-0.26383867025549629</v>
      </c>
      <c r="X21" s="15">
        <f>IF(W21&gt;0,(1-NORMSDIST(W21)),(NORMSDIST(W21)))</f>
        <v>0.39595211772370681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62.601638730430942</v>
      </c>
      <c r="E22" s="36">
        <v>1.7073399999999999</v>
      </c>
      <c r="F22" s="14">
        <v>50.419099999999993</v>
      </c>
      <c r="G22" s="36">
        <v>1.5744799999999999</v>
      </c>
      <c r="H22" s="4"/>
      <c r="I22" s="14">
        <f>F22-D22</f>
        <v>-12.182538730430949</v>
      </c>
      <c r="J22" s="15">
        <f>SQRT(G22*G22+E22*E22)</f>
        <v>2.3224980400422299</v>
      </c>
      <c r="K22" s="15">
        <f>I22/J22</f>
        <v>-5.2454462911880153</v>
      </c>
      <c r="L22" s="15">
        <f>IF(K22&gt;0,(1-NORMSDIST(K22)),(NORMSDIST(K22)))</f>
        <v>7.7952236559040042E-8</v>
      </c>
      <c r="M22" s="16" t="str">
        <f>IF(L22&lt;0.025,"Significativa","No significativa")</f>
        <v>Significativa</v>
      </c>
      <c r="O22" s="18" t="s">
        <v>19</v>
      </c>
      <c r="P22" s="46">
        <v>46.62455442663498</v>
      </c>
      <c r="Q22" s="36">
        <v>1.9539199999999999</v>
      </c>
      <c r="R22" s="14">
        <v>50.419099999999993</v>
      </c>
      <c r="S22" s="36">
        <v>1.5744799999999999</v>
      </c>
      <c r="T22" s="4"/>
      <c r="U22" s="14">
        <f t="shared" si="0"/>
        <v>3.7945455733650135</v>
      </c>
      <c r="V22" s="15">
        <f t="shared" si="1"/>
        <v>2.509340677707991</v>
      </c>
      <c r="W22" s="15">
        <f t="shared" si="2"/>
        <v>1.5121683584354584</v>
      </c>
      <c r="X22" s="15">
        <f>IF(W22&gt;0,(1-NORMSDIST(W22)),(NORMSDIST(W22)))</f>
        <v>6.5245519143580899E-2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D23" s="46"/>
      <c r="E23" s="36"/>
      <c r="F23" s="14"/>
      <c r="G23" s="36"/>
      <c r="H23" s="4"/>
      <c r="I23" s="14"/>
      <c r="J23" s="15"/>
      <c r="K23" s="15"/>
      <c r="L23" s="15"/>
      <c r="M23" s="16"/>
      <c r="O23" s="19" t="s">
        <v>20</v>
      </c>
      <c r="P23" s="46"/>
      <c r="Q23" s="36"/>
      <c r="R23" s="14"/>
      <c r="S23" s="36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28.511277521055078</v>
      </c>
      <c r="E24" s="36">
        <v>0.92815000000000003</v>
      </c>
      <c r="F24" s="14">
        <v>23.862400000000001</v>
      </c>
      <c r="G24" s="36">
        <v>0.79535999999999996</v>
      </c>
      <c r="H24" s="4"/>
      <c r="I24" s="14">
        <f>F24-D24</f>
        <v>-4.648877521055077</v>
      </c>
      <c r="J24" s="15">
        <f>SQRT(G24*G24+E24*E24)</f>
        <v>1.2223174514421367</v>
      </c>
      <c r="K24" s="15">
        <f>I24/J24</f>
        <v>-3.8033307268665388</v>
      </c>
      <c r="L24" s="15">
        <f>IF(K24&gt;0,(1-NORMSDIST(K24)),(NORMSDIST(K24)))</f>
        <v>7.1381778045789118E-5</v>
      </c>
      <c r="M24" s="16" t="str">
        <f>IF(L24&lt;0.025,"Significativa","No significativa")</f>
        <v>Significativa</v>
      </c>
      <c r="O24" s="20" t="s">
        <v>21</v>
      </c>
      <c r="P24" s="46">
        <v>23.687473684442573</v>
      </c>
      <c r="Q24" s="36">
        <v>0.92706</v>
      </c>
      <c r="R24" s="14">
        <v>23.862400000000001</v>
      </c>
      <c r="S24" s="36">
        <v>0.79535999999999996</v>
      </c>
      <c r="T24" s="4"/>
      <c r="U24" s="14">
        <f t="shared" si="0"/>
        <v>0.17492631555742832</v>
      </c>
      <c r="V24" s="15">
        <f t="shared" si="1"/>
        <v>1.2214899808021349</v>
      </c>
      <c r="W24" s="15">
        <f t="shared" si="2"/>
        <v>0.14320732736797132</v>
      </c>
      <c r="X24" s="15">
        <f>IF(W24&gt;0,(1-NORMSDIST(W24)),(NORMSDIST(W24)))</f>
        <v>0.44306322153439903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55.864248985051134</v>
      </c>
      <c r="E25" s="36">
        <v>2.3332999999999999</v>
      </c>
      <c r="F25" s="14">
        <v>33.478900000000003</v>
      </c>
      <c r="G25" s="36">
        <v>1.0545</v>
      </c>
      <c r="H25" s="4"/>
      <c r="I25" s="14">
        <f>F25-D25</f>
        <v>-22.385348985051131</v>
      </c>
      <c r="J25" s="15">
        <f>SQRT(G25*G25+E25*E25)</f>
        <v>2.5605193106086896</v>
      </c>
      <c r="K25" s="15">
        <f>I25/J25</f>
        <v>-8.7425034805652988</v>
      </c>
      <c r="L25" s="15">
        <f>IF(K25&gt;0,(1-NORMSDIST(K25)),(NORMSDIST(K25)))</f>
        <v>1.1400042708169509E-18</v>
      </c>
      <c r="M25" s="16" t="str">
        <f>IF(L25&lt;0.025,"Significativa","No significativa")</f>
        <v>Significativa</v>
      </c>
      <c r="O25" s="18" t="s">
        <v>22</v>
      </c>
      <c r="P25" s="46">
        <v>13.779680090999474</v>
      </c>
      <c r="Q25" s="36">
        <v>0.72674000000000005</v>
      </c>
      <c r="R25" s="14">
        <v>33.478900000000003</v>
      </c>
      <c r="S25" s="36">
        <v>1.0545</v>
      </c>
      <c r="T25" s="4"/>
      <c r="U25" s="14">
        <f t="shared" si="0"/>
        <v>19.699219909000529</v>
      </c>
      <c r="V25" s="15">
        <f t="shared" si="1"/>
        <v>1.2806721975587665</v>
      </c>
      <c r="W25" s="15">
        <f t="shared" si="2"/>
        <v>15.381937662542711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81.170356500142958</v>
      </c>
      <c r="E26" s="36">
        <v>0.95391999999999999</v>
      </c>
      <c r="F26" s="14">
        <v>74.268699999999995</v>
      </c>
      <c r="G26" s="36">
        <v>1.10791</v>
      </c>
      <c r="H26" s="4"/>
      <c r="I26" s="14">
        <f>F26-D26</f>
        <v>-6.9016565001429626</v>
      </c>
      <c r="J26" s="15">
        <f>SQRT(G26*G26+E26*E26)</f>
        <v>1.4619945056326304</v>
      </c>
      <c r="K26" s="15">
        <f>I26/J26</f>
        <v>-4.720713021528419</v>
      </c>
      <c r="L26" s="15">
        <f>IF(K26&gt;0,(1-NORMSDIST(K26)),(NORMSDIST(K26)))</f>
        <v>1.1750966487327825E-6</v>
      </c>
      <c r="M26" s="16" t="str">
        <f>IF(L26&lt;0.025,"Significativa","No significativa")</f>
        <v>Significativa</v>
      </c>
      <c r="O26" s="18" t="s">
        <v>23</v>
      </c>
      <c r="P26" s="46">
        <v>75.584508486009497</v>
      </c>
      <c r="Q26" s="36">
        <v>1.2656700000000001</v>
      </c>
      <c r="R26" s="14">
        <v>74.268699999999995</v>
      </c>
      <c r="S26" s="36">
        <v>1.10791</v>
      </c>
      <c r="T26" s="4"/>
      <c r="U26" s="14">
        <f t="shared" si="0"/>
        <v>-1.3158084860095016</v>
      </c>
      <c r="V26" s="15">
        <f t="shared" si="1"/>
        <v>1.6820776191959752</v>
      </c>
      <c r="W26" s="15">
        <f t="shared" si="2"/>
        <v>-0.78225194306934043</v>
      </c>
      <c r="X26" s="15">
        <f>IF(W26&gt;0,(1-NORMSDIST(W26)),(NORMSDIST(W26)))</f>
        <v>0.21703326170493517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44.688200686497574</v>
      </c>
      <c r="E27" s="36">
        <v>1.9616100000000001</v>
      </c>
      <c r="F27" s="14">
        <v>25.942599999999999</v>
      </c>
      <c r="G27" s="36">
        <v>1.52397</v>
      </c>
      <c r="H27" s="4"/>
      <c r="I27" s="14">
        <f>F27-D27</f>
        <v>-18.745600686497575</v>
      </c>
      <c r="J27" s="15">
        <f>SQRT(G27*G27+E27*E27)</f>
        <v>2.4840286538202414</v>
      </c>
      <c r="K27" s="15">
        <f>I27/J27</f>
        <v>-7.5464510675705414</v>
      </c>
      <c r="L27" s="15">
        <f>IF(K27&gt;0,(1-NORMSDIST(K27)),(NORMSDIST(K27)))</f>
        <v>2.2363951032390289E-14</v>
      </c>
      <c r="M27" s="16" t="str">
        <f>IF(L27&lt;0.025,"Significativa","No significativa")</f>
        <v>Significativa</v>
      </c>
      <c r="O27" s="18" t="s">
        <v>24</v>
      </c>
      <c r="P27" s="46">
        <v>28.827411827727062</v>
      </c>
      <c r="Q27" s="36">
        <v>1.9416</v>
      </c>
      <c r="R27" s="14">
        <v>25.942599999999999</v>
      </c>
      <c r="S27" s="36">
        <v>1.52397</v>
      </c>
      <c r="T27" s="4"/>
      <c r="U27" s="14">
        <f t="shared" si="0"/>
        <v>-2.8848118277270629</v>
      </c>
      <c r="V27" s="15">
        <f t="shared" si="1"/>
        <v>2.4682575070077268</v>
      </c>
      <c r="W27" s="15">
        <f t="shared" si="2"/>
        <v>-1.1687645310656123</v>
      </c>
      <c r="X27" s="15">
        <f>IF(W27&gt;0,(1-NORMSDIST(W27)),(NORMSDIST(W27)))</f>
        <v>0.12124925719602013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54.633386513831006</v>
      </c>
      <c r="E28" s="36">
        <v>2.5273400000000001</v>
      </c>
      <c r="F28" s="14">
        <v>56.284300000000002</v>
      </c>
      <c r="G28" s="36">
        <v>1.9365600000000001</v>
      </c>
      <c r="H28" s="4"/>
      <c r="I28" s="14">
        <f>F28-D28</f>
        <v>1.6509134861689958</v>
      </c>
      <c r="J28" s="15">
        <f>SQRT(G28*G28+E28*E28)</f>
        <v>3.1839774040027358</v>
      </c>
      <c r="K28" s="15">
        <f>I28/J28</f>
        <v>0.51850665902765225</v>
      </c>
      <c r="L28" s="15">
        <f>IF(K28&gt;0,(1-NORMSDIST(K28)),(NORMSDIST(K28)))</f>
        <v>0.30205240761565122</v>
      </c>
      <c r="M28" s="16" t="str">
        <f>IF(L28&lt;0.025,"Significativa","No significativa")</f>
        <v>No significativa</v>
      </c>
      <c r="O28" s="18" t="s">
        <v>25</v>
      </c>
      <c r="P28" s="46">
        <v>58.627589946850847</v>
      </c>
      <c r="Q28" s="36">
        <v>2.05402</v>
      </c>
      <c r="R28" s="14">
        <v>56.284300000000002</v>
      </c>
      <c r="S28" s="36">
        <v>1.9365600000000001</v>
      </c>
      <c r="T28" s="4"/>
      <c r="U28" s="14">
        <f t="shared" si="0"/>
        <v>-2.3432899468508452</v>
      </c>
      <c r="V28" s="15">
        <f t="shared" si="1"/>
        <v>2.8229882737978209</v>
      </c>
      <c r="W28" s="15">
        <f t="shared" si="2"/>
        <v>-0.83007427575969761</v>
      </c>
      <c r="X28" s="15">
        <f>IF(W28&gt;0,(1-NORMSDIST(W28)),(NORMSDIST(W28)))</f>
        <v>0.20324839512788892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33.983872352642472</v>
      </c>
      <c r="E29" s="36">
        <v>1.87283</v>
      </c>
      <c r="F29" s="14">
        <v>33.343299999999999</v>
      </c>
      <c r="G29" s="36">
        <v>1.3103099999999999</v>
      </c>
      <c r="H29" s="4"/>
      <c r="I29" s="14">
        <f>F29-D29</f>
        <v>-0.64057235264247225</v>
      </c>
      <c r="J29" s="15">
        <f>SQRT(G29*G29+E29*E29)</f>
        <v>2.2856956282497456</v>
      </c>
      <c r="K29" s="15">
        <f>I29/J29</f>
        <v>-0.28025269188312085</v>
      </c>
      <c r="L29" s="15">
        <f>IF(K29&gt;0,(1-NORMSDIST(K29)),(NORMSDIST(K29)))</f>
        <v>0.38964182167804001</v>
      </c>
      <c r="M29" s="16" t="str">
        <f>IF(L29&lt;0.025,"Significativa","No significativa")</f>
        <v>No significativa</v>
      </c>
      <c r="O29" s="18" t="s">
        <v>26</v>
      </c>
      <c r="P29" s="46">
        <v>35.555569639507176</v>
      </c>
      <c r="Q29" s="36">
        <v>1.64832</v>
      </c>
      <c r="R29" s="14">
        <v>33.343299999999999</v>
      </c>
      <c r="S29" s="36">
        <v>1.3103099999999999</v>
      </c>
      <c r="T29" s="4"/>
      <c r="U29" s="14">
        <f t="shared" si="0"/>
        <v>-2.212269639507177</v>
      </c>
      <c r="V29" s="15">
        <f t="shared" si="1"/>
        <v>2.1056759291258471</v>
      </c>
      <c r="W29" s="15">
        <f t="shared" si="2"/>
        <v>-1.0506220871440466</v>
      </c>
      <c r="X29" s="15">
        <f>IF(W29&gt;0,(1-NORMSDIST(W29)),(NORMSDIST(W29)))</f>
        <v>0.14671609635597058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F30" s="14"/>
      <c r="G30" s="36"/>
      <c r="H30" s="4"/>
      <c r="I30" s="14"/>
      <c r="J30" s="15"/>
      <c r="K30" s="15"/>
      <c r="L30" s="15"/>
      <c r="M30" s="16"/>
      <c r="O30" s="8" t="s">
        <v>27</v>
      </c>
      <c r="P30" s="46"/>
      <c r="Q30" s="36"/>
      <c r="R30" s="14"/>
      <c r="S30" s="36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38.901627488465188</v>
      </c>
      <c r="E31" s="36">
        <v>2.0078800000000001</v>
      </c>
      <c r="F31" s="14">
        <v>38.020600000000002</v>
      </c>
      <c r="G31" s="36">
        <v>1.8814899999999999</v>
      </c>
      <c r="H31" s="22"/>
      <c r="I31" s="14">
        <f>F31-D31</f>
        <v>-0.88102748846518608</v>
      </c>
      <c r="J31" s="15">
        <f>SQRT(((G31^2)+(E31^2)))</f>
        <v>2.7516516339282484</v>
      </c>
      <c r="K31" s="15">
        <f>(F31-D31)/SQRT(((G31^2)+(E31^2)))</f>
        <v>-0.32018133313170688</v>
      </c>
      <c r="L31" s="15">
        <f>IF(K31&gt;0,(1-NORMSDIST(K31)),(NORMSDIST(K31)))</f>
        <v>0.37441543647880543</v>
      </c>
      <c r="M31" s="16" t="str">
        <f>IF(L31&lt;0.025,"Significativa","No significativa")</f>
        <v>No significativa</v>
      </c>
      <c r="O31" s="21" t="s">
        <v>28</v>
      </c>
      <c r="P31" s="46">
        <v>38.642398303459437</v>
      </c>
      <c r="Q31" s="36">
        <v>2.23428</v>
      </c>
      <c r="R31" s="14">
        <v>38.020600000000002</v>
      </c>
      <c r="S31" s="36">
        <v>1.8814899999999999</v>
      </c>
      <c r="T31" s="22"/>
      <c r="U31" s="14">
        <f t="shared" si="0"/>
        <v>-0.62179830345943543</v>
      </c>
      <c r="V31" s="15">
        <f t="shared" si="1"/>
        <v>2.9209607560698241</v>
      </c>
      <c r="W31" s="15">
        <f t="shared" si="2"/>
        <v>-0.21287458318887859</v>
      </c>
      <c r="X31" s="15">
        <f>IF(W31&gt;0,(1-NORMSDIST(W31)),(NORMSDIST(W31)))</f>
        <v>0.41571239384187064</v>
      </c>
      <c r="Y31" s="16" t="str">
        <f>IF(X31&lt;0.025,"Significativa","No significativa")</f>
        <v>No significativa</v>
      </c>
    </row>
    <row r="32" spans="3:25" ht="17.25" customHeight="1" thickBot="1" x14ac:dyDescent="0.3">
      <c r="C32" s="23" t="s">
        <v>29</v>
      </c>
      <c r="D32" s="30">
        <v>70.436226629767845</v>
      </c>
      <c r="E32" s="33">
        <v>1.7230800000000002</v>
      </c>
      <c r="F32" s="32">
        <v>69.194400000000002</v>
      </c>
      <c r="G32" s="33">
        <v>1.5984499999999999</v>
      </c>
      <c r="H32" s="24"/>
      <c r="I32" s="32">
        <f>F32-D32</f>
        <v>-1.2418266297678429</v>
      </c>
      <c r="J32" s="25">
        <f>SQRT(((G32^2)+(E32^2)))</f>
        <v>2.3503291448007873</v>
      </c>
      <c r="K32" s="25">
        <f>(F32-D32)/SQRT(((G32^2)+(E32^2)))</f>
        <v>-0.52836286037422198</v>
      </c>
      <c r="L32" s="25">
        <f>IF(K32&gt;0,(1-NORMSDIST(K32)),(NORMSDIST(K32)))</f>
        <v>0.2986237549001865</v>
      </c>
      <c r="M32" s="26" t="str">
        <f>IF(L32&lt;0.025,"Significativa","No significativa")</f>
        <v>No significativa</v>
      </c>
      <c r="O32" s="23" t="s">
        <v>29</v>
      </c>
      <c r="P32" s="30">
        <v>69.511180943017308</v>
      </c>
      <c r="Q32" s="33">
        <v>1.7471899999999998</v>
      </c>
      <c r="R32" s="32">
        <v>69.194400000000002</v>
      </c>
      <c r="S32" s="33">
        <v>1.5984499999999999</v>
      </c>
      <c r="T32" s="24"/>
      <c r="U32" s="32">
        <f t="shared" si="0"/>
        <v>-0.31678094301730653</v>
      </c>
      <c r="V32" s="25">
        <f t="shared" si="1"/>
        <v>2.3680615065069568</v>
      </c>
      <c r="W32" s="25">
        <f t="shared" si="2"/>
        <v>-0.13377226146654392</v>
      </c>
      <c r="X32" s="25">
        <f>IF(W32&gt;0,(1-NORMSDIST(W32)),(NORMSDIST(W32)))</f>
        <v>0.44679133107930469</v>
      </c>
      <c r="Y32" s="26" t="str">
        <f>IF(X32&lt;0.025,"Significativa","No significativa")</f>
        <v>No significativa</v>
      </c>
    </row>
    <row r="33" spans="1:25" ht="16.5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64</v>
      </c>
      <c r="P34" s="4"/>
      <c r="Q34" s="4"/>
      <c r="R34" s="4"/>
      <c r="S34" s="4"/>
      <c r="T34" s="4"/>
      <c r="U34" s="4"/>
      <c r="V34" s="4"/>
      <c r="W34" s="4"/>
      <c r="X34" s="4"/>
      <c r="Y34" s="28"/>
    </row>
  </sheetData>
  <mergeCells count="18">
    <mergeCell ref="O9:Y9"/>
    <mergeCell ref="O10:Y10"/>
    <mergeCell ref="O11:O12"/>
    <mergeCell ref="P11:Q11"/>
    <mergeCell ref="R11:S11"/>
    <mergeCell ref="W11:W12"/>
    <mergeCell ref="X11:X12"/>
    <mergeCell ref="Y11:Y12"/>
    <mergeCell ref="U12:V12"/>
    <mergeCell ref="K11:K12"/>
    <mergeCell ref="L11:L12"/>
    <mergeCell ref="M11:M12"/>
    <mergeCell ref="I12:J12"/>
    <mergeCell ref="C11:C12"/>
    <mergeCell ref="C9:M9"/>
    <mergeCell ref="C10:M10"/>
    <mergeCell ref="D11:E11"/>
    <mergeCell ref="F11:G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D3C9-0681-4400-B9A1-59E31793A860}">
  <dimension ref="A4:Y34"/>
  <sheetViews>
    <sheetView zoomScaleNormal="100" workbookViewId="0">
      <selection activeCell="C4" sqref="C4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0.7109375" style="1" customWidth="1"/>
    <col min="10" max="10" width="11.2851562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0.7109375" style="1" customWidth="1"/>
    <col min="22" max="22" width="11.2851562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72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71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6.7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39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55.181786837282878</v>
      </c>
      <c r="E14" s="36">
        <v>2.6251600000000002</v>
      </c>
      <c r="F14" s="14">
        <v>45.663199999999996</v>
      </c>
      <c r="G14" s="36">
        <v>1.7808200000000001</v>
      </c>
      <c r="H14" s="4"/>
      <c r="I14" s="14">
        <f>F14-D14</f>
        <v>-9.5185868372828821</v>
      </c>
      <c r="J14" s="15">
        <f>SQRT(G14*G14+E14*E14)</f>
        <v>3.1721892910102323</v>
      </c>
      <c r="K14" s="15">
        <f>I14/J14</f>
        <v>-3.0006364576848887</v>
      </c>
      <c r="L14" s="15">
        <f>IF(K14&gt;0,(1-NORMSDIST(K14)),(NORMSDIST(K14)))</f>
        <v>1.3470800389961284E-3</v>
      </c>
      <c r="M14" s="16" t="str">
        <f>IF(L14&lt;0.025,"Significativa","No significativa")</f>
        <v>Significativa</v>
      </c>
      <c r="O14" s="13" t="s">
        <v>11</v>
      </c>
      <c r="P14" s="46">
        <v>43.845155490931852</v>
      </c>
      <c r="Q14" s="36">
        <v>1.9422700000000002</v>
      </c>
      <c r="R14" s="14">
        <v>45.663199999999996</v>
      </c>
      <c r="S14" s="36">
        <v>1.7808200000000001</v>
      </c>
      <c r="T14" s="4"/>
      <c r="U14" s="14">
        <f>R14-P14</f>
        <v>1.8180445090681445</v>
      </c>
      <c r="V14" s="15">
        <f>SQRT(S14*S14+Q14*Q14)</f>
        <v>2.6350963218258268</v>
      </c>
      <c r="W14" s="15">
        <f>U14/V14</f>
        <v>0.68993474508303487</v>
      </c>
      <c r="X14" s="15">
        <f>IF(W14&gt;0,(1-NORMSDIST(W14)),(NORMSDIST(W14)))</f>
        <v>0.24511761234789775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46">
        <v>39.843682508908344</v>
      </c>
      <c r="E15" s="36">
        <v>1.6150000000000002</v>
      </c>
      <c r="F15" s="14">
        <v>38.4223</v>
      </c>
      <c r="G15" s="36">
        <v>1.3909899999999999</v>
      </c>
      <c r="H15" s="4"/>
      <c r="I15" s="14">
        <f>F15-D15</f>
        <v>-1.4213825089083443</v>
      </c>
      <c r="J15" s="15">
        <f>SQRT(G15*G15+E15*E15)</f>
        <v>2.1314497836214676</v>
      </c>
      <c r="K15" s="15">
        <f>I15/J15</f>
        <v>-0.66686183265050969</v>
      </c>
      <c r="L15" s="15">
        <f>IF(K15&gt;0,(1-NORMSDIST(K15)),(NORMSDIST(K15)))</f>
        <v>0.25243019621875773</v>
      </c>
      <c r="M15" s="16" t="str">
        <f>IF(L15&lt;0.025,"Significativa","No significativa")</f>
        <v>No significativa</v>
      </c>
      <c r="O15" s="13" t="s">
        <v>12</v>
      </c>
      <c r="P15" s="46">
        <v>37.77643937754803</v>
      </c>
      <c r="Q15" s="36">
        <v>1.6894800000000001</v>
      </c>
      <c r="R15" s="14">
        <v>38.4223</v>
      </c>
      <c r="S15" s="36">
        <v>1.3909899999999999</v>
      </c>
      <c r="T15" s="4"/>
      <c r="U15" s="14">
        <f>R15-P15</f>
        <v>0.64586062245196985</v>
      </c>
      <c r="V15" s="15">
        <f t="shared" ref="V15:V32" si="0">SQRT(S15*S15+Q15*Q15)</f>
        <v>2.1884231424703953</v>
      </c>
      <c r="W15" s="15">
        <f t="shared" ref="W15:W32" si="1">U15/V15</f>
        <v>0.29512602472430988</v>
      </c>
      <c r="X15" s="15">
        <f>IF(W15&gt;0,(1-NORMSDIST(W15)),(NORMSDIST(W15)))</f>
        <v>0.38394880490529348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46">
        <v>15.338104328374527</v>
      </c>
      <c r="E16" s="36">
        <v>2.15449</v>
      </c>
      <c r="F16" s="14">
        <v>7.2408200000000003</v>
      </c>
      <c r="G16" s="36">
        <v>0.94640999999999997</v>
      </c>
      <c r="H16" s="4"/>
      <c r="I16" s="14">
        <f>F16-D16</f>
        <v>-8.0972843283745277</v>
      </c>
      <c r="J16" s="15">
        <f>SQRT(G16*G16+E16*E16)</f>
        <v>2.3531933724621954</v>
      </c>
      <c r="K16" s="15">
        <f>I16/J16</f>
        <v>-3.4409770242987596</v>
      </c>
      <c r="L16" s="15">
        <f>IF(K16&gt;0,(1-NORMSDIST(K16)),(NORMSDIST(K16)))</f>
        <v>2.8980887399127027E-4</v>
      </c>
      <c r="M16" s="16" t="str">
        <f>IF(L16&lt;0.025,"Significativa","No significativa")</f>
        <v>Significativa</v>
      </c>
      <c r="O16" s="13" t="s">
        <v>13</v>
      </c>
      <c r="P16" s="46">
        <v>6.0687161133838279</v>
      </c>
      <c r="Q16" s="36">
        <v>1.06145</v>
      </c>
      <c r="R16" s="14">
        <v>7.2408200000000003</v>
      </c>
      <c r="S16" s="36">
        <v>0.94640999999999997</v>
      </c>
      <c r="T16" s="4"/>
      <c r="U16" s="14">
        <f>R16-P16</f>
        <v>1.1721038866161724</v>
      </c>
      <c r="V16" s="15">
        <f t="shared" si="0"/>
        <v>1.4220998525420079</v>
      </c>
      <c r="W16" s="15">
        <f t="shared" si="1"/>
        <v>0.82420646097461658</v>
      </c>
      <c r="X16" s="15">
        <f>IF(W16&gt;0,(1-NORMSDIST(W16)),(NORMSDIST(W16)))</f>
        <v>0.20491112826309843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46">
        <v>30.525525537004516</v>
      </c>
      <c r="E17" s="36">
        <v>2.3773</v>
      </c>
      <c r="F17" s="14">
        <v>33.566499999999998</v>
      </c>
      <c r="G17" s="36">
        <v>1.47973</v>
      </c>
      <c r="H17" s="4"/>
      <c r="I17" s="14">
        <f>F17-D17</f>
        <v>3.0409744629954822</v>
      </c>
      <c r="J17" s="15">
        <f>SQRT(G17*G17+E17*E17)</f>
        <v>2.8002064500497101</v>
      </c>
      <c r="K17" s="15">
        <f>I17/J17</f>
        <v>1.0859822363959979</v>
      </c>
      <c r="L17" s="15">
        <f>IF(K17&gt;0,(1-NORMSDIST(K17)),(NORMSDIST(K17)))</f>
        <v>0.13874342567209796</v>
      </c>
      <c r="M17" s="16" t="str">
        <f>IF(L17&lt;0.025,"Significativa","No significativa")</f>
        <v>No significativa</v>
      </c>
      <c r="O17" s="13" t="s">
        <v>14</v>
      </c>
      <c r="P17" s="46">
        <v>38.862650373557464</v>
      </c>
      <c r="Q17" s="36">
        <v>1.74516</v>
      </c>
      <c r="R17" s="14">
        <v>33.566499999999998</v>
      </c>
      <c r="S17" s="36">
        <v>1.47973</v>
      </c>
      <c r="T17" s="4"/>
      <c r="U17" s="14">
        <f>R17-P17</f>
        <v>-5.2961503735574667</v>
      </c>
      <c r="V17" s="15">
        <f t="shared" si="0"/>
        <v>2.2880525121814839</v>
      </c>
      <c r="W17" s="15">
        <f t="shared" si="1"/>
        <v>-2.3146979124653004</v>
      </c>
      <c r="X17" s="15">
        <f>IF(W17&gt;0,(1-NORMSDIST(W17)),(NORMSDIST(W17)))</f>
        <v>1.0314735050278719E-2</v>
      </c>
      <c r="Y17" s="16" t="str">
        <f>IF(X17&lt;0.025,"Significativa","No significativa")</f>
        <v>Significativa</v>
      </c>
    </row>
    <row r="18" spans="3:25" ht="15" customHeight="1" x14ac:dyDescent="0.25">
      <c r="C18" s="13" t="s">
        <v>15</v>
      </c>
      <c r="D18" s="46">
        <v>3.4286334623555952</v>
      </c>
      <c r="E18" s="36">
        <v>0.48591000000000001</v>
      </c>
      <c r="F18" s="14">
        <v>4.92835</v>
      </c>
      <c r="G18" s="36">
        <v>0.52817000000000003</v>
      </c>
      <c r="H18" s="4"/>
      <c r="I18" s="14">
        <f>F18-D18</f>
        <v>1.4997165376444048</v>
      </c>
      <c r="J18" s="15">
        <f>SQRT(G18*G18+E18*E18)</f>
        <v>0.71768522138887603</v>
      </c>
      <c r="K18" s="15">
        <f>I18/J18</f>
        <v>2.0896578234426078</v>
      </c>
      <c r="L18" s="15">
        <f>IF(K18&gt;0,(1-NORMSDIST(K18)),(NORMSDIST(K18)))</f>
        <v>1.8324274130326001E-2</v>
      </c>
      <c r="M18" s="16" t="str">
        <f>IF(L18&lt;0.025,"Significativa","No significativa")</f>
        <v>Significativa</v>
      </c>
      <c r="O18" s="13" t="s">
        <v>15</v>
      </c>
      <c r="P18" s="46">
        <v>3.7992470997086247</v>
      </c>
      <c r="Q18" s="36">
        <v>0.40955000000000003</v>
      </c>
      <c r="R18" s="14">
        <v>4.92835</v>
      </c>
      <c r="S18" s="36">
        <v>0.52817000000000003</v>
      </c>
      <c r="T18" s="4"/>
      <c r="U18" s="14">
        <f>R18-P18</f>
        <v>1.1291029002913753</v>
      </c>
      <c r="V18" s="15">
        <f t="shared" si="0"/>
        <v>0.66835226594962638</v>
      </c>
      <c r="W18" s="15">
        <f t="shared" si="1"/>
        <v>1.6893829164880481</v>
      </c>
      <c r="X18" s="15">
        <f>IF(W18&gt;0,(1-NORMSDIST(W18)),(NORMSDIST(W18)))</f>
        <v>4.5573036339641271E-2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10.864054163357014</v>
      </c>
      <c r="E19" s="36">
        <v>1.01206</v>
      </c>
      <c r="F19" s="14">
        <v>15.842000000000001</v>
      </c>
      <c r="G19" s="36">
        <v>0.90001000000000009</v>
      </c>
      <c r="H19" s="4"/>
      <c r="I19" s="14">
        <f>F19-D19</f>
        <v>4.9779458366429861</v>
      </c>
      <c r="J19" s="15">
        <f>SQRT(G19*G19+E19*E19)</f>
        <v>1.3543572068328207</v>
      </c>
      <c r="K19" s="15">
        <f>I19/J19</f>
        <v>3.6755043732398835</v>
      </c>
      <c r="L19" s="15">
        <f>IF(K19&gt;0,(1-NORMSDIST(K19)),(NORMSDIST(K19)))</f>
        <v>1.1868998714004153E-4</v>
      </c>
      <c r="M19" s="16" t="str">
        <f>IF(L19&lt;0.025,"Significativa","No significativa")</f>
        <v>Significativa</v>
      </c>
      <c r="O19" s="13" t="s">
        <v>16</v>
      </c>
      <c r="P19" s="46">
        <v>13.492947035802057</v>
      </c>
      <c r="Q19" s="36">
        <v>0.98554000000000008</v>
      </c>
      <c r="R19" s="14">
        <v>15.842000000000001</v>
      </c>
      <c r="S19" s="36">
        <v>0.90001000000000009</v>
      </c>
      <c r="T19" s="4"/>
      <c r="U19" s="14">
        <f>R19-P19</f>
        <v>2.3490529641979432</v>
      </c>
      <c r="V19" s="15">
        <f t="shared" si="0"/>
        <v>1.3346561698430051</v>
      </c>
      <c r="W19" s="15">
        <f t="shared" si="1"/>
        <v>1.7600435357626685</v>
      </c>
      <c r="X19" s="15">
        <f>IF(W19&gt;0,(1-NORMSDIST(W19)),(NORMSDIST(W19)))</f>
        <v>3.9200212625334574E-2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D20" s="46"/>
      <c r="E20" s="36"/>
      <c r="F20" s="14"/>
      <c r="G20" s="36"/>
      <c r="H20" s="4"/>
      <c r="I20" s="14"/>
      <c r="J20" s="15"/>
      <c r="K20" s="15"/>
      <c r="L20" s="15"/>
      <c r="M20" s="16"/>
      <c r="O20" s="17" t="s">
        <v>17</v>
      </c>
      <c r="P20" s="46"/>
      <c r="Q20" s="36"/>
      <c r="R20" s="14"/>
      <c r="S20" s="36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85.707312374287397</v>
      </c>
      <c r="E21" s="36">
        <v>1.1624300000000001</v>
      </c>
      <c r="F21" s="14">
        <v>79.229700000000008</v>
      </c>
      <c r="G21" s="36">
        <v>1.06081</v>
      </c>
      <c r="H21" s="4"/>
      <c r="I21" s="14">
        <f>F21-D21</f>
        <v>-6.4776123742873892</v>
      </c>
      <c r="J21" s="15">
        <f>SQRT(G21*G21+E21*E21)</f>
        <v>1.5737094271179799</v>
      </c>
      <c r="K21" s="15">
        <f>I21/J21</f>
        <v>-4.1161425754119012</v>
      </c>
      <c r="L21" s="15">
        <f>IF(K21&gt;0,(1-NORMSDIST(K21)),(NORMSDIST(K21)))</f>
        <v>1.9263301745143471E-5</v>
      </c>
      <c r="M21" s="16" t="str">
        <f>IF(L21&lt;0.025,"Significativa","No significativa")</f>
        <v>Significativa</v>
      </c>
      <c r="O21" s="18" t="s">
        <v>18</v>
      </c>
      <c r="P21" s="46">
        <v>82.707805864489316</v>
      </c>
      <c r="Q21" s="36">
        <v>1.0899799999999999</v>
      </c>
      <c r="R21" s="14">
        <v>79.229700000000008</v>
      </c>
      <c r="S21" s="36">
        <v>1.06081</v>
      </c>
      <c r="T21" s="4"/>
      <c r="U21" s="14">
        <f>R21-P21</f>
        <v>-3.4781058644893079</v>
      </c>
      <c r="V21" s="15">
        <f t="shared" si="0"/>
        <v>1.5209780591777122</v>
      </c>
      <c r="W21" s="15">
        <f t="shared" si="1"/>
        <v>-2.2867561063764978</v>
      </c>
      <c r="X21" s="15">
        <f>IF(W21&gt;0,(1-NORMSDIST(W21)),(NORMSDIST(W21)))</f>
        <v>1.1105031406973808E-2</v>
      </c>
      <c r="Y21" s="16" t="str">
        <f>IF(X21&lt;0.025,"Significativa","No significativa")</f>
        <v>Significativa</v>
      </c>
    </row>
    <row r="22" spans="3:25" x14ac:dyDescent="0.25">
      <c r="C22" s="18" t="s">
        <v>19</v>
      </c>
      <c r="D22" s="46">
        <v>39.536544287917138</v>
      </c>
      <c r="E22" s="36">
        <v>2.4790399999999999</v>
      </c>
      <c r="F22" s="14">
        <v>22.654900000000001</v>
      </c>
      <c r="G22" s="36">
        <v>1.45417</v>
      </c>
      <c r="H22" s="4"/>
      <c r="I22" s="14">
        <f>F22-D22</f>
        <v>-16.881644287917137</v>
      </c>
      <c r="J22" s="15">
        <f>SQRT(G22*G22+E22*E22)</f>
        <v>2.8740650150092288</v>
      </c>
      <c r="K22" s="15">
        <f>I22/J22</f>
        <v>-5.8737865009163439</v>
      </c>
      <c r="L22" s="15">
        <f>IF(K22&gt;0,(1-NORMSDIST(K22)),(NORMSDIST(K22)))</f>
        <v>2.1297594151674932E-9</v>
      </c>
      <c r="M22" s="16" t="str">
        <f>IF(L22&lt;0.025,"Significativa","No significativa")</f>
        <v>Significativa</v>
      </c>
      <c r="O22" s="18" t="s">
        <v>19</v>
      </c>
      <c r="P22" s="46">
        <v>21.246341925885105</v>
      </c>
      <c r="Q22" s="36">
        <v>1.67414</v>
      </c>
      <c r="R22" s="14">
        <v>22.654900000000001</v>
      </c>
      <c r="S22" s="36">
        <v>1.45417</v>
      </c>
      <c r="T22" s="4"/>
      <c r="U22" s="14">
        <f>R22-P22</f>
        <v>1.4085580741148966</v>
      </c>
      <c r="V22" s="15">
        <f t="shared" si="0"/>
        <v>2.2175110210549125</v>
      </c>
      <c r="W22" s="15">
        <f t="shared" si="1"/>
        <v>0.63519777838345015</v>
      </c>
      <c r="X22" s="15">
        <f>IF(W22&gt;0,(1-NORMSDIST(W22)),(NORMSDIST(W22)))</f>
        <v>0.26264971600797116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D23" s="46"/>
      <c r="E23" s="36"/>
      <c r="F23" s="14"/>
      <c r="G23" s="36"/>
      <c r="H23" s="4"/>
      <c r="I23" s="14"/>
      <c r="J23" s="15"/>
      <c r="K23" s="15"/>
      <c r="L23" s="15"/>
      <c r="M23" s="16"/>
      <c r="O23" s="19" t="s">
        <v>20</v>
      </c>
      <c r="P23" s="46"/>
      <c r="Q23" s="36"/>
      <c r="R23" s="14"/>
      <c r="S23" s="36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23.709006508195831</v>
      </c>
      <c r="E24" s="36">
        <v>1.0605500000000001</v>
      </c>
      <c r="F24" s="14">
        <v>15.876999999999999</v>
      </c>
      <c r="G24" s="36">
        <v>0.62480000000000002</v>
      </c>
      <c r="H24" s="4"/>
      <c r="I24" s="14">
        <f>F24-D24</f>
        <v>-7.8320065081958319</v>
      </c>
      <c r="J24" s="15">
        <f>SQRT(G24*G24+E24*E24)</f>
        <v>1.2309107776358124</v>
      </c>
      <c r="K24" s="15">
        <f>I24/J24</f>
        <v>-6.3627735255016793</v>
      </c>
      <c r="L24" s="15">
        <f>IF(K24&gt;0,(1-NORMSDIST(K24)),(NORMSDIST(K24)))</f>
        <v>9.9071373084956384E-11</v>
      </c>
      <c r="M24" s="16" t="str">
        <f>IF(L24&lt;0.025,"Significativa","No significativa")</f>
        <v>Significativa</v>
      </c>
      <c r="O24" s="20" t="s">
        <v>21</v>
      </c>
      <c r="P24" s="46">
        <v>17.503510513817496</v>
      </c>
      <c r="Q24" s="36">
        <v>0.79319000000000006</v>
      </c>
      <c r="R24" s="14">
        <v>15.876999999999999</v>
      </c>
      <c r="S24" s="36">
        <v>0.62480000000000002</v>
      </c>
      <c r="T24" s="4"/>
      <c r="U24" s="14">
        <f>R24-P24</f>
        <v>-1.6265105138174967</v>
      </c>
      <c r="V24" s="15">
        <f t="shared" si="0"/>
        <v>1.0097155124588311</v>
      </c>
      <c r="W24" s="15">
        <f t="shared" si="1"/>
        <v>-1.61086018165321</v>
      </c>
      <c r="X24" s="15">
        <f>IF(W24&gt;0,(1-NORMSDIST(W24)),(NORMSDIST(W24)))</f>
        <v>5.3605100218502177E-2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47.406736628688812</v>
      </c>
      <c r="E25" s="36">
        <v>2.9132899999999999</v>
      </c>
      <c r="F25" s="14">
        <v>26.9254</v>
      </c>
      <c r="G25" s="36">
        <v>1.1425100000000001</v>
      </c>
      <c r="H25" s="4"/>
      <c r="I25" s="14">
        <f>F25-D25</f>
        <v>-20.481336628688812</v>
      </c>
      <c r="J25" s="15">
        <f>SQRT(G25*G25+E25*E25)</f>
        <v>3.1293110622307907</v>
      </c>
      <c r="K25" s="15">
        <f>I25/J25</f>
        <v>-6.54499863432825</v>
      </c>
      <c r="L25" s="15">
        <f>IF(K25&gt;0,(1-NORMSDIST(K25)),(NORMSDIST(K25)))</f>
        <v>2.9747964690045216E-11</v>
      </c>
      <c r="M25" s="16" t="str">
        <f>IF(L25&lt;0.025,"Significativa","No significativa")</f>
        <v>Significativa</v>
      </c>
      <c r="O25" s="18" t="s">
        <v>22</v>
      </c>
      <c r="P25" s="46">
        <v>14.432784905074836</v>
      </c>
      <c r="Q25" s="36">
        <v>0.75400999999999996</v>
      </c>
      <c r="R25" s="14">
        <v>26.9254</v>
      </c>
      <c r="S25" s="36">
        <v>1.1425100000000001</v>
      </c>
      <c r="T25" s="4"/>
      <c r="U25" s="14">
        <f>R25-P25</f>
        <v>12.492615094925164</v>
      </c>
      <c r="V25" s="15">
        <f t="shared" si="0"/>
        <v>1.3688901271468066</v>
      </c>
      <c r="W25" s="15">
        <f t="shared" si="1"/>
        <v>9.1260904342729567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77.197079912510532</v>
      </c>
      <c r="E26" s="36">
        <v>1.55663</v>
      </c>
      <c r="F26" s="14">
        <v>67.496200000000002</v>
      </c>
      <c r="G26" s="36">
        <v>1.3731599999999999</v>
      </c>
      <c r="H26" s="4"/>
      <c r="I26" s="14">
        <f>F26-D26</f>
        <v>-9.7008799125105298</v>
      </c>
      <c r="J26" s="15">
        <f>SQRT(G26*G26+E26*E26)</f>
        <v>2.0757324833658117</v>
      </c>
      <c r="K26" s="15">
        <f>I26/J26</f>
        <v>-4.6734730945581671</v>
      </c>
      <c r="L26" s="15">
        <f>IF(K26&gt;0,(1-NORMSDIST(K26)),(NORMSDIST(K26)))</f>
        <v>1.4807425877699255E-6</v>
      </c>
      <c r="M26" s="16" t="str">
        <f>IF(L26&lt;0.025,"Significativa","No significativa")</f>
        <v>Significativa</v>
      </c>
      <c r="O26" s="18" t="s">
        <v>23</v>
      </c>
      <c r="P26" s="46">
        <v>70.813158398998368</v>
      </c>
      <c r="Q26" s="36">
        <v>1.4417199999999999</v>
      </c>
      <c r="R26" s="14">
        <v>67.496200000000002</v>
      </c>
      <c r="S26" s="36">
        <v>1.3731599999999999</v>
      </c>
      <c r="T26" s="4"/>
      <c r="U26" s="14">
        <f>R26-P26</f>
        <v>-3.3169583989983664</v>
      </c>
      <c r="V26" s="15">
        <f t="shared" si="0"/>
        <v>1.9910110356298882</v>
      </c>
      <c r="W26" s="15">
        <f t="shared" si="1"/>
        <v>-1.6659668578627409</v>
      </c>
      <c r="X26" s="15">
        <f>IF(W26&gt;0,(1-NORMSDIST(W26)),(NORMSDIST(W26)))</f>
        <v>4.7860007858077515E-2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21.272886288906403</v>
      </c>
      <c r="E27" s="36">
        <v>2.5536400000000001</v>
      </c>
      <c r="F27" s="14">
        <v>7.8844800000000008</v>
      </c>
      <c r="G27" s="36">
        <v>0.93171999999999999</v>
      </c>
      <c r="H27" s="4"/>
      <c r="I27" s="14">
        <f>F27-D27</f>
        <v>-13.388406288906403</v>
      </c>
      <c r="J27" s="15">
        <f>SQRT(G27*G27+E27*E27)</f>
        <v>2.7183045098001806</v>
      </c>
      <c r="K27" s="15">
        <f>I27/J27</f>
        <v>-4.9252783272211724</v>
      </c>
      <c r="L27" s="15">
        <f>IF(K27&gt;0,(1-NORMSDIST(K27)),(NORMSDIST(K27)))</f>
        <v>4.2120180597514141E-7</v>
      </c>
      <c r="M27" s="16" t="str">
        <f>IF(L27&lt;0.025,"Significativa","No significativa")</f>
        <v>Significativa</v>
      </c>
      <c r="O27" s="18" t="s">
        <v>24</v>
      </c>
      <c r="P27" s="46">
        <v>9.7563691706158213</v>
      </c>
      <c r="Q27" s="36">
        <v>1.23061</v>
      </c>
      <c r="R27" s="14">
        <v>7.8844800000000008</v>
      </c>
      <c r="S27" s="36">
        <v>0.93171999999999999</v>
      </c>
      <c r="T27" s="4"/>
      <c r="U27" s="14">
        <f>R27-P27</f>
        <v>-1.8718891706158205</v>
      </c>
      <c r="V27" s="15">
        <f t="shared" si="0"/>
        <v>1.5435359181113992</v>
      </c>
      <c r="W27" s="15">
        <f t="shared" si="1"/>
        <v>-1.2127279635359438</v>
      </c>
      <c r="X27" s="15">
        <f>IF(W27&gt;0,(1-NORMSDIST(W27)),(NORMSDIST(W27)))</f>
        <v>0.11261692244395188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30.09167129826772</v>
      </c>
      <c r="E28" s="36">
        <v>2.9060699999999997</v>
      </c>
      <c r="F28" s="14">
        <v>20.520700000000001</v>
      </c>
      <c r="G28" s="36">
        <v>2.1352800000000003</v>
      </c>
      <c r="H28" s="4"/>
      <c r="I28" s="14">
        <f>F28-D28</f>
        <v>-9.5709712982677182</v>
      </c>
      <c r="J28" s="15">
        <f>SQRT(G28*G28+E28*E28)</f>
        <v>3.6061979317974213</v>
      </c>
      <c r="K28" s="15">
        <f>I28/J28</f>
        <v>-2.6540338271164448</v>
      </c>
      <c r="L28" s="15">
        <f>IF(K28&gt;0,(1-NORMSDIST(K28)),(NORMSDIST(K28)))</f>
        <v>3.976792657022399E-3</v>
      </c>
      <c r="M28" s="16" t="str">
        <f>IF(L28&lt;0.025,"Significativa","No significativa")</f>
        <v>Significativa</v>
      </c>
      <c r="O28" s="18" t="s">
        <v>25</v>
      </c>
      <c r="P28" s="46">
        <v>25.629911082589292</v>
      </c>
      <c r="Q28" s="36">
        <v>2.3199000000000001</v>
      </c>
      <c r="R28" s="14">
        <v>20.520700000000001</v>
      </c>
      <c r="S28" s="36">
        <v>2.1352800000000003</v>
      </c>
      <c r="T28" s="4"/>
      <c r="U28" s="14">
        <f>R28-P28</f>
        <v>-5.1092110825892902</v>
      </c>
      <c r="V28" s="15">
        <f t="shared" si="0"/>
        <v>3.152991704461019</v>
      </c>
      <c r="W28" s="15">
        <f t="shared" si="1"/>
        <v>-1.6204327703623542</v>
      </c>
      <c r="X28" s="15">
        <f>IF(W28&gt;0,(1-NORMSDIST(W28)),(NORMSDIST(W28)))</f>
        <v>5.2569672579893256E-2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23.903304402072408</v>
      </c>
      <c r="E29" s="36">
        <v>2.1164999999999998</v>
      </c>
      <c r="F29" s="14">
        <v>25.312000000000001</v>
      </c>
      <c r="G29" s="36">
        <v>1.22685</v>
      </c>
      <c r="H29" s="4"/>
      <c r="I29" s="14">
        <f>F29-D29</f>
        <v>1.4086955979275935</v>
      </c>
      <c r="J29" s="15">
        <f>SQRT(G29*G29+E29*E29)</f>
        <v>2.446371429791478</v>
      </c>
      <c r="K29" s="15">
        <f>I29/J29</f>
        <v>0.5758306284862339</v>
      </c>
      <c r="L29" s="15">
        <f>IF(K29&gt;0,(1-NORMSDIST(K29)),(NORMSDIST(K29)))</f>
        <v>0.28236483445402416</v>
      </c>
      <c r="M29" s="16" t="str">
        <f>IF(L29&lt;0.025,"Significativa","No significativa")</f>
        <v>No significativa</v>
      </c>
      <c r="O29" s="18" t="s">
        <v>26</v>
      </c>
      <c r="P29" s="46">
        <v>22.732713039447841</v>
      </c>
      <c r="Q29" s="36">
        <v>1.5897299999999999</v>
      </c>
      <c r="R29" s="14">
        <v>25.312000000000001</v>
      </c>
      <c r="S29" s="36">
        <v>1.22685</v>
      </c>
      <c r="T29" s="4"/>
      <c r="U29" s="14">
        <f>R29-P29</f>
        <v>2.5792869605521602</v>
      </c>
      <c r="V29" s="15">
        <f t="shared" si="0"/>
        <v>2.0080842600349218</v>
      </c>
      <c r="W29" s="15">
        <f t="shared" si="1"/>
        <v>1.2844515600691502</v>
      </c>
      <c r="X29" s="15">
        <f>IF(W29&gt;0,(1-NORMSDIST(W29)),(NORMSDIST(W29)))</f>
        <v>9.949200108284062E-2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F30" s="14"/>
      <c r="G30" s="36"/>
      <c r="H30" s="4"/>
      <c r="I30" s="14"/>
      <c r="J30" s="15"/>
      <c r="K30" s="15"/>
      <c r="L30" s="15"/>
      <c r="M30" s="16"/>
      <c r="O30" s="8" t="s">
        <v>27</v>
      </c>
      <c r="P30" s="46"/>
      <c r="Q30" s="36"/>
      <c r="R30" s="14"/>
      <c r="S30" s="36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22.707586830096563</v>
      </c>
      <c r="E31" s="36">
        <v>2.4133900000000001</v>
      </c>
      <c r="F31" s="14">
        <v>16.456599999999998</v>
      </c>
      <c r="G31" s="36">
        <v>1.41557</v>
      </c>
      <c r="H31" s="22"/>
      <c r="I31" s="14">
        <f>F31-D31</f>
        <v>-6.250986830096565</v>
      </c>
      <c r="J31" s="15">
        <f>SQRT(((G31^2)+(E31^2)))</f>
        <v>2.7979080965964553</v>
      </c>
      <c r="K31" s="15">
        <f>(F31-D31)/SQRT(((G31^2)+(E31^2)))</f>
        <v>-2.2341644594047403</v>
      </c>
      <c r="L31" s="15">
        <f>IF(K31&gt;0,(1-NORMSDIST(K31)),(NORMSDIST(K31)))</f>
        <v>1.2736126993374872E-2</v>
      </c>
      <c r="M31" s="16" t="str">
        <f>IF(L31&lt;0.025,"Significativa","No significativa")</f>
        <v>Significativa</v>
      </c>
      <c r="O31" s="21" t="s">
        <v>28</v>
      </c>
      <c r="P31" s="46">
        <v>14.682191068931811</v>
      </c>
      <c r="Q31" s="36">
        <v>1.46234</v>
      </c>
      <c r="R31" s="14">
        <v>16.456599999999998</v>
      </c>
      <c r="S31" s="36">
        <v>1.41557</v>
      </c>
      <c r="T31" s="22"/>
      <c r="U31" s="14">
        <f>R31-P31</f>
        <v>1.7744089310681872</v>
      </c>
      <c r="V31" s="15">
        <f t="shared" si="0"/>
        <v>2.0352583866674028</v>
      </c>
      <c r="W31" s="15">
        <f t="shared" si="1"/>
        <v>0.87183472265340278</v>
      </c>
      <c r="X31" s="15">
        <f>IF(W31&gt;0,(1-NORMSDIST(W31)),(NORMSDIST(W31)))</f>
        <v>0.19164927453643987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58.610420299638463</v>
      </c>
      <c r="E32" s="33">
        <v>2.6712400000000001</v>
      </c>
      <c r="F32" s="32">
        <v>50.591500000000003</v>
      </c>
      <c r="G32" s="33">
        <v>1.7751800000000002</v>
      </c>
      <c r="H32" s="24"/>
      <c r="I32" s="32">
        <f>F32-D32</f>
        <v>-8.0189202996384594</v>
      </c>
      <c r="J32" s="25">
        <f>SQRT(((G32^2)+(E32^2)))</f>
        <v>3.2073021638130701</v>
      </c>
      <c r="K32" s="25">
        <f>(F32-D32)/SQRT(((G32^2)+(E32^2)))</f>
        <v>-2.5002073051031131</v>
      </c>
      <c r="L32" s="25">
        <f>IF(K32&gt;0,(1-NORMSDIST(K32)),(NORMSDIST(K32)))</f>
        <v>6.2060325611055693E-3</v>
      </c>
      <c r="M32" s="26" t="str">
        <f>IF(L32&lt;0.025,"Significativa","No significativa")</f>
        <v>Significativa</v>
      </c>
      <c r="O32" s="23" t="s">
        <v>29</v>
      </c>
      <c r="P32" s="30">
        <v>47.644402590640475</v>
      </c>
      <c r="Q32" s="33">
        <v>1.95953</v>
      </c>
      <c r="R32" s="32">
        <v>50.591500000000003</v>
      </c>
      <c r="S32" s="33">
        <v>1.7751800000000002</v>
      </c>
      <c r="T32" s="24"/>
      <c r="U32" s="32">
        <f>R32-P32</f>
        <v>2.9470974093595288</v>
      </c>
      <c r="V32" s="25">
        <f t="shared" si="0"/>
        <v>2.6440540564254738</v>
      </c>
      <c r="W32" s="25">
        <f t="shared" si="1"/>
        <v>1.1146131457477624</v>
      </c>
      <c r="X32" s="25">
        <f>IF(W32&gt;0,(1-NORMSDIST(W32)),(NORMSDIST(W32)))</f>
        <v>0.13250811729400092</v>
      </c>
      <c r="Y32" s="26" t="str">
        <f>IF(X32&lt;0.025,"Significativa","No significativa")</f>
        <v>No significativa</v>
      </c>
    </row>
    <row r="33" spans="1:2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64</v>
      </c>
      <c r="P34" s="4"/>
      <c r="Q34" s="4"/>
      <c r="R34" s="4"/>
      <c r="S34" s="4"/>
      <c r="T34" s="4"/>
      <c r="U34" s="4"/>
      <c r="V34" s="4"/>
      <c r="W34" s="4"/>
      <c r="X34" s="4"/>
      <c r="Y34" s="28"/>
    </row>
  </sheetData>
  <mergeCells count="18">
    <mergeCell ref="O9:Y9"/>
    <mergeCell ref="O10:Y10"/>
    <mergeCell ref="O11:O12"/>
    <mergeCell ref="P11:Q11"/>
    <mergeCell ref="R11:S11"/>
    <mergeCell ref="W11:W12"/>
    <mergeCell ref="X11:X12"/>
    <mergeCell ref="Y11:Y12"/>
    <mergeCell ref="U12:V12"/>
    <mergeCell ref="K11:K12"/>
    <mergeCell ref="L11:L12"/>
    <mergeCell ref="M11:M12"/>
    <mergeCell ref="I12:J12"/>
    <mergeCell ref="C11:C12"/>
    <mergeCell ref="C9:M9"/>
    <mergeCell ref="C10:M10"/>
    <mergeCell ref="D11:E11"/>
    <mergeCell ref="F11:G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E0BB-B7A2-4606-9775-0E110F702940}">
  <dimension ref="A4:Y34"/>
  <sheetViews>
    <sheetView zoomScaleNormal="100" workbookViewId="0">
      <selection activeCell="J3" sqref="J3"/>
    </sheetView>
  </sheetViews>
  <sheetFormatPr baseColWidth="10" defaultColWidth="11.42578125" defaultRowHeight="15" x14ac:dyDescent="0.25"/>
  <cols>
    <col min="1" max="1" width="1.7109375" style="1" customWidth="1"/>
    <col min="2" max="2" width="1.5703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1.5703125" style="1" bestFit="1" customWidth="1"/>
    <col min="10" max="10" width="13.570312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1.5703125" style="1" bestFit="1" customWidth="1"/>
    <col min="22" max="22" width="13.570312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70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69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6.7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39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36.693009095035599</v>
      </c>
      <c r="E14" s="36">
        <v>1.53512</v>
      </c>
      <c r="F14" s="14">
        <v>32.587500000000006</v>
      </c>
      <c r="G14" s="36">
        <v>1.2596100000000001</v>
      </c>
      <c r="H14" s="4"/>
      <c r="I14" s="14">
        <f>F14-D14</f>
        <v>-4.1055090950355932</v>
      </c>
      <c r="J14" s="15">
        <f>SQRT(G14*G14+E14*E14)</f>
        <v>1.985751939820279</v>
      </c>
      <c r="K14" s="15">
        <f>I14/J14</f>
        <v>-2.0674833611932231</v>
      </c>
      <c r="L14" s="15">
        <f>IF(K14&gt;0,(1-NORMSDIST(K14)),(NORMSDIST(K14)))</f>
        <v>1.934431522633237E-2</v>
      </c>
      <c r="M14" s="16" t="str">
        <f>IF(L14&lt;0.025,"Significativa","No significativa")</f>
        <v>Significativa</v>
      </c>
      <c r="O14" s="13" t="s">
        <v>11</v>
      </c>
      <c r="P14" s="46">
        <v>28.429172396238648</v>
      </c>
      <c r="Q14" s="36">
        <v>1.45774</v>
      </c>
      <c r="R14" s="14">
        <v>32.587500000000006</v>
      </c>
      <c r="S14" s="36">
        <v>1.2596100000000001</v>
      </c>
      <c r="T14" s="4"/>
      <c r="U14" s="14">
        <f>R14-P14</f>
        <v>4.1583276037613572</v>
      </c>
      <c r="V14" s="15">
        <f>SQRT(S14*S14+Q14*Q14)</f>
        <v>1.9265573595665406</v>
      </c>
      <c r="W14" s="15">
        <f>U14/V14</f>
        <v>2.1584239800142502</v>
      </c>
      <c r="X14" s="15">
        <f>IF(W14&gt;0,(1-NORMSDIST(W14)),(NORMSDIST(W14)))</f>
        <v>1.5447441488330993E-2</v>
      </c>
      <c r="Y14" s="16" t="str">
        <f>IF(X14&lt;0.025,"Significativa","No significativa")</f>
        <v>Significativa</v>
      </c>
    </row>
    <row r="15" spans="1:25" ht="15" customHeight="1" x14ac:dyDescent="0.25">
      <c r="C15" s="13" t="s">
        <v>12</v>
      </c>
      <c r="D15" s="46">
        <v>32.259571081540187</v>
      </c>
      <c r="E15" s="36">
        <v>1.4100899999999998</v>
      </c>
      <c r="F15" s="14">
        <v>29.111499999999999</v>
      </c>
      <c r="G15" s="36">
        <v>1.0161099999999998</v>
      </c>
      <c r="H15" s="4"/>
      <c r="I15" s="14">
        <f>F15-D15</f>
        <v>-3.1480710815401878</v>
      </c>
      <c r="J15" s="15">
        <f>SQRT(G15*G15+E15*E15)</f>
        <v>1.7380544698599061</v>
      </c>
      <c r="K15" s="15">
        <f>I15/J15</f>
        <v>-1.8112614628205148</v>
      </c>
      <c r="L15" s="15">
        <f>IF(K15&gt;0,(1-NORMSDIST(K15)),(NORMSDIST(K15)))</f>
        <v>3.5050194020634376E-2</v>
      </c>
      <c r="M15" s="16" t="str">
        <f>IF(L15&lt;0.025,"Significativa","No significativa")</f>
        <v>No significativa</v>
      </c>
      <c r="O15" s="13" t="s">
        <v>12</v>
      </c>
      <c r="P15" s="46">
        <v>25.455437885237327</v>
      </c>
      <c r="Q15" s="36">
        <v>1.29626</v>
      </c>
      <c r="R15" s="14">
        <v>29.111499999999999</v>
      </c>
      <c r="S15" s="36">
        <v>1.0161099999999998</v>
      </c>
      <c r="T15" s="4"/>
      <c r="U15" s="14">
        <f>R15-P15</f>
        <v>3.6560621147626726</v>
      </c>
      <c r="V15" s="15">
        <f t="shared" ref="V15:V32" si="0">SQRT(S15*S15+Q15*Q15)</f>
        <v>1.6470487302141366</v>
      </c>
      <c r="W15" s="15">
        <f t="shared" ref="W15:W32" si="1">U15/V15</f>
        <v>2.2197656011594384</v>
      </c>
      <c r="X15" s="15">
        <f>IF(W15&gt;0,(1-NORMSDIST(W15)),(NORMSDIST(W15)))</f>
        <v>1.3217341553009465E-2</v>
      </c>
      <c r="Y15" s="16" t="str">
        <f>IF(X15&lt;0.025,"Significativa","No significativa")</f>
        <v>Significativa</v>
      </c>
    </row>
    <row r="16" spans="1:25" ht="15" customHeight="1" x14ac:dyDescent="0.25">
      <c r="C16" s="13" t="s">
        <v>13</v>
      </c>
      <c r="D16" s="46">
        <v>4.4334380134954134</v>
      </c>
      <c r="E16" s="36">
        <v>0.54113</v>
      </c>
      <c r="F16" s="14">
        <v>3.4759400000000005</v>
      </c>
      <c r="G16" s="36">
        <v>0.64231000000000005</v>
      </c>
      <c r="H16" s="4"/>
      <c r="I16" s="14">
        <f>F16-D16</f>
        <v>-0.95749801349541297</v>
      </c>
      <c r="J16" s="15">
        <f>SQRT(G16*G16+E16*E16)</f>
        <v>0.83987130740369986</v>
      </c>
      <c r="K16" s="15">
        <f>I16/J16</f>
        <v>-1.1400532498905498</v>
      </c>
      <c r="L16" s="15">
        <f>IF(K16&gt;0,(1-NORMSDIST(K16)),(NORMSDIST(K16)))</f>
        <v>0.12713205853245635</v>
      </c>
      <c r="M16" s="16" t="str">
        <f>IF(L16&lt;0.025,"Significativa","No significativa")</f>
        <v>No significativa</v>
      </c>
      <c r="O16" s="13" t="s">
        <v>13</v>
      </c>
      <c r="P16" s="46">
        <v>2.9737345110013256</v>
      </c>
      <c r="Q16" s="36">
        <v>0.54203999999999997</v>
      </c>
      <c r="R16" s="14">
        <v>3.4759400000000005</v>
      </c>
      <c r="S16" s="36">
        <v>0.64231000000000005</v>
      </c>
      <c r="T16" s="4"/>
      <c r="U16" s="14">
        <f>R16-P16</f>
        <v>0.5022054889986749</v>
      </c>
      <c r="V16" s="15">
        <f t="shared" si="0"/>
        <v>0.84045790953503441</v>
      </c>
      <c r="W16" s="15">
        <f t="shared" si="1"/>
        <v>0.59753794128311488</v>
      </c>
      <c r="X16" s="15">
        <f>IF(W16&gt;0,(1-NORMSDIST(W16)),(NORMSDIST(W16)))</f>
        <v>0.27507414173260991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46">
        <v>35.878017345485823</v>
      </c>
      <c r="E17" s="36">
        <v>1.3369</v>
      </c>
      <c r="F17" s="14">
        <v>31.153199999999998</v>
      </c>
      <c r="G17" s="36">
        <v>1.0611900000000001</v>
      </c>
      <c r="H17" s="4"/>
      <c r="I17" s="14">
        <f>F17-D17</f>
        <v>-4.7248173454858247</v>
      </c>
      <c r="J17" s="15">
        <f>SQRT(G17*G17+E17*E17)</f>
        <v>1.7068760429802745</v>
      </c>
      <c r="K17" s="15">
        <f>I17/J17</f>
        <v>-2.7681080679040422</v>
      </c>
      <c r="L17" s="15">
        <f>IF(K17&gt;0,(1-NORMSDIST(K17)),(NORMSDIST(K17)))</f>
        <v>2.8191378130120967E-3</v>
      </c>
      <c r="M17" s="16" t="str">
        <f>IF(L17&lt;0.025,"Significativa","No significativa")</f>
        <v>Significativa</v>
      </c>
      <c r="O17" s="13" t="s">
        <v>14</v>
      </c>
      <c r="P17" s="46">
        <v>36.516986957189559</v>
      </c>
      <c r="Q17" s="36">
        <v>1.2556799999999999</v>
      </c>
      <c r="R17" s="14">
        <v>31.153199999999998</v>
      </c>
      <c r="S17" s="36">
        <v>1.0611900000000001</v>
      </c>
      <c r="T17" s="4"/>
      <c r="U17" s="14">
        <f>R17-P17</f>
        <v>-5.3637869571895607</v>
      </c>
      <c r="V17" s="15">
        <f t="shared" si="0"/>
        <v>1.6440366414712295</v>
      </c>
      <c r="W17" s="15">
        <f t="shared" si="1"/>
        <v>-3.2625714183532852</v>
      </c>
      <c r="X17" s="15">
        <f>IF(W17&gt;0,(1-NORMSDIST(W17)),(NORMSDIST(W17)))</f>
        <v>5.5203174896864104E-4</v>
      </c>
      <c r="Y17" s="16" t="str">
        <f>IF(X17&lt;0.025,"Significativa","No significativa")</f>
        <v>Significativa</v>
      </c>
    </row>
    <row r="18" spans="3:25" ht="15" customHeight="1" x14ac:dyDescent="0.25">
      <c r="C18" s="13" t="s">
        <v>15</v>
      </c>
      <c r="D18" s="46">
        <v>5.3207498029047606</v>
      </c>
      <c r="E18" s="36">
        <v>0.60846</v>
      </c>
      <c r="F18" s="14">
        <v>9.2863699999999998</v>
      </c>
      <c r="G18" s="36">
        <v>0.66766999999999999</v>
      </c>
      <c r="H18" s="4"/>
      <c r="I18" s="14">
        <f>F18-D18</f>
        <v>3.9656201970952392</v>
      </c>
      <c r="J18" s="15">
        <f>SQRT(G18*G18+E18*E18)</f>
        <v>0.90333094738307296</v>
      </c>
      <c r="K18" s="15">
        <f>I18/J18</f>
        <v>4.3899970532212373</v>
      </c>
      <c r="L18" s="15">
        <f>IF(K18&gt;0,(1-NORMSDIST(K18)),(NORMSDIST(K18)))</f>
        <v>5.6676098446617473E-6</v>
      </c>
      <c r="M18" s="16" t="str">
        <f>IF(L18&lt;0.025,"Significativa","No significativa")</f>
        <v>Significativa</v>
      </c>
      <c r="O18" s="13" t="s">
        <v>15</v>
      </c>
      <c r="P18" s="46">
        <v>7.6583687748937663</v>
      </c>
      <c r="Q18" s="36">
        <v>0.70684999999999998</v>
      </c>
      <c r="R18" s="14">
        <v>9.2863699999999998</v>
      </c>
      <c r="S18" s="36">
        <v>0.66766999999999999</v>
      </c>
      <c r="T18" s="4"/>
      <c r="U18" s="14">
        <f>R18-P18</f>
        <v>1.6280012251062335</v>
      </c>
      <c r="V18" s="15">
        <f t="shared" si="0"/>
        <v>0.97232718330817025</v>
      </c>
      <c r="W18" s="15">
        <f t="shared" si="1"/>
        <v>1.6743347846835352</v>
      </c>
      <c r="X18" s="15">
        <f>IF(W18&gt;0,(1-NORMSDIST(W18)),(NORMSDIST(W18)))</f>
        <v>4.7032410920285872E-2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22.10822375657381</v>
      </c>
      <c r="E19" s="36">
        <v>1.11321</v>
      </c>
      <c r="F19" s="14">
        <v>26.972899999999999</v>
      </c>
      <c r="G19" s="36">
        <v>1.0207199999999998</v>
      </c>
      <c r="H19" s="4"/>
      <c r="I19" s="14">
        <f>F19-D19</f>
        <v>4.8646762434261888</v>
      </c>
      <c r="J19" s="15">
        <f>SQRT(G19*G19+E19*E19)</f>
        <v>1.510333017085967</v>
      </c>
      <c r="K19" s="15">
        <f>I19/J19</f>
        <v>3.2209295489097389</v>
      </c>
      <c r="L19" s="15">
        <f>IF(K19&gt;0,(1-NORMSDIST(K19)),(NORMSDIST(K19)))</f>
        <v>6.3887776910653837E-4</v>
      </c>
      <c r="M19" s="16" t="str">
        <f>IF(L19&lt;0.025,"Significativa","No significativa")</f>
        <v>Significativa</v>
      </c>
      <c r="O19" s="13" t="s">
        <v>16</v>
      </c>
      <c r="P19" s="46">
        <v>27.395471871678019</v>
      </c>
      <c r="Q19" s="36">
        <v>1.3812899999999999</v>
      </c>
      <c r="R19" s="14">
        <v>26.972899999999999</v>
      </c>
      <c r="S19" s="36">
        <v>1.0207199999999998</v>
      </c>
      <c r="T19" s="4"/>
      <c r="U19" s="14">
        <f>R19-P19</f>
        <v>-0.42257187167802002</v>
      </c>
      <c r="V19" s="15">
        <f t="shared" si="0"/>
        <v>1.7175073165783019</v>
      </c>
      <c r="W19" s="15">
        <f t="shared" si="1"/>
        <v>-0.24603788734937526</v>
      </c>
      <c r="X19" s="15">
        <f>IF(W19&gt;0,(1-NORMSDIST(W19)),(NORMSDIST(W19)))</f>
        <v>0.40282645194928568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D20" s="46"/>
      <c r="E20" s="36"/>
      <c r="F20" s="14"/>
      <c r="G20" s="36"/>
      <c r="H20" s="4"/>
      <c r="I20" s="14"/>
      <c r="J20" s="15"/>
      <c r="K20" s="15"/>
      <c r="L20" s="15"/>
      <c r="M20" s="16"/>
      <c r="O20" s="17" t="s">
        <v>17</v>
      </c>
      <c r="P20" s="46"/>
      <c r="Q20" s="36"/>
      <c r="R20" s="14"/>
      <c r="S20" s="36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72.571026440521422</v>
      </c>
      <c r="E21" s="36">
        <v>1.1760299999999999</v>
      </c>
      <c r="F21" s="14">
        <v>63.740699999999997</v>
      </c>
      <c r="G21" s="36">
        <v>1.0988800000000001</v>
      </c>
      <c r="H21" s="4"/>
      <c r="I21" s="14">
        <f>F21-D21</f>
        <v>-8.830326440521425</v>
      </c>
      <c r="J21" s="15">
        <f>SQRT(G21*G21+E21*E21)</f>
        <v>1.6095290663110127</v>
      </c>
      <c r="K21" s="15">
        <f>I21/J21</f>
        <v>-5.4862795741615535</v>
      </c>
      <c r="L21" s="15">
        <f>IF(K21&gt;0,(1-NORMSDIST(K21)),(NORMSDIST(K21)))</f>
        <v>2.0524353365098847E-8</v>
      </c>
      <c r="M21" s="16" t="str">
        <f>IF(L21&lt;0.025,"Significativa","No significativa")</f>
        <v>Significativa</v>
      </c>
      <c r="O21" s="18" t="s">
        <v>18</v>
      </c>
      <c r="P21" s="46">
        <v>64.946159353428214</v>
      </c>
      <c r="Q21" s="36">
        <v>1.38564</v>
      </c>
      <c r="R21" s="14">
        <v>63.740699999999997</v>
      </c>
      <c r="S21" s="36">
        <v>1.0988800000000001</v>
      </c>
      <c r="T21" s="4"/>
      <c r="U21" s="14">
        <f>R21-P21</f>
        <v>-1.2054593534282176</v>
      </c>
      <c r="V21" s="15">
        <f t="shared" si="0"/>
        <v>1.7684839450783827</v>
      </c>
      <c r="W21" s="15">
        <f t="shared" si="1"/>
        <v>-0.68163432118395018</v>
      </c>
      <c r="X21" s="15">
        <f>IF(W21&gt;0,(1-NORMSDIST(W21)),(NORMSDIST(W21)))</f>
        <v>0.24773510359277673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21.16868466322158</v>
      </c>
      <c r="E22" s="36">
        <v>1.1899599999999999</v>
      </c>
      <c r="F22" s="14">
        <v>13.8985</v>
      </c>
      <c r="G22" s="36">
        <v>1.1231599999999999</v>
      </c>
      <c r="H22" s="4"/>
      <c r="I22" s="14">
        <f>F22-D22</f>
        <v>-7.2701846632215794</v>
      </c>
      <c r="J22" s="15">
        <f>SQRT(G22*G22+E22*E22)</f>
        <v>1.6363047354328593</v>
      </c>
      <c r="K22" s="15">
        <f>I22/J22</f>
        <v>-4.4430505551879147</v>
      </c>
      <c r="L22" s="15">
        <f>IF(K22&gt;0,(1-NORMSDIST(K22)),(NORMSDIST(K22)))</f>
        <v>4.4346157667365024E-6</v>
      </c>
      <c r="M22" s="16" t="str">
        <f>IF(L22&lt;0.025,"Significativa","No significativa")</f>
        <v>Significativa</v>
      </c>
      <c r="O22" s="18" t="s">
        <v>19</v>
      </c>
      <c r="P22" s="46">
        <v>11.541306854410557</v>
      </c>
      <c r="Q22" s="36">
        <v>0.93918999999999997</v>
      </c>
      <c r="R22" s="14">
        <v>13.8985</v>
      </c>
      <c r="S22" s="36">
        <v>1.1231599999999999</v>
      </c>
      <c r="T22" s="4"/>
      <c r="U22" s="14">
        <f>R22-P22</f>
        <v>2.3571931455894433</v>
      </c>
      <c r="V22" s="15">
        <f t="shared" si="0"/>
        <v>1.4640922927534314</v>
      </c>
      <c r="W22" s="15">
        <f t="shared" si="1"/>
        <v>1.6100031106347881</v>
      </c>
      <c r="X22" s="15">
        <f>IF(W22&gt;0,(1-NORMSDIST(W22)),(NORMSDIST(W22)))</f>
        <v>5.3698588608357856E-2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D23" s="46"/>
      <c r="E23" s="36"/>
      <c r="F23" s="14"/>
      <c r="G23" s="36"/>
      <c r="H23" s="4"/>
      <c r="I23" s="14"/>
      <c r="J23" s="15"/>
      <c r="K23" s="15"/>
      <c r="L23" s="15"/>
      <c r="M23" s="16"/>
      <c r="O23" s="19" t="s">
        <v>20</v>
      </c>
      <c r="P23" s="46"/>
      <c r="Q23" s="36"/>
      <c r="R23" s="14"/>
      <c r="S23" s="36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21.582843593034131</v>
      </c>
      <c r="E24" s="36">
        <v>0.83047999999999988</v>
      </c>
      <c r="F24" s="14">
        <v>15.360099999999999</v>
      </c>
      <c r="G24" s="36">
        <v>0.61712</v>
      </c>
      <c r="H24" s="4"/>
      <c r="I24" s="14">
        <f>F24-D24</f>
        <v>-6.2227435930341315</v>
      </c>
      <c r="J24" s="15">
        <f>SQRT(G24*G24+E24*E24)</f>
        <v>1.0346661900342544</v>
      </c>
      <c r="K24" s="15">
        <f>I24/J24</f>
        <v>-6.0142523772117427</v>
      </c>
      <c r="L24" s="15">
        <f>IF(K24&gt;0,(1-NORMSDIST(K24)),(NORMSDIST(K24)))</f>
        <v>9.0359388450755479E-10</v>
      </c>
      <c r="M24" s="16" t="str">
        <f>IF(L24&lt;0.025,"Significativa","No significativa")</f>
        <v>Significativa</v>
      </c>
      <c r="O24" s="20" t="s">
        <v>21</v>
      </c>
      <c r="P24" s="46">
        <v>17.008337051702419</v>
      </c>
      <c r="Q24" s="36">
        <v>0.67605999999999999</v>
      </c>
      <c r="R24" s="14">
        <v>15.360099999999999</v>
      </c>
      <c r="S24" s="36">
        <v>0.61712</v>
      </c>
      <c r="T24" s="4"/>
      <c r="U24" s="14">
        <f>R24-P24</f>
        <v>-1.6482370517024201</v>
      </c>
      <c r="V24" s="15">
        <f t="shared" si="0"/>
        <v>0.91536561984815656</v>
      </c>
      <c r="W24" s="15">
        <f t="shared" si="1"/>
        <v>-1.8006324641904667</v>
      </c>
      <c r="X24" s="15">
        <f>IF(W24&gt;0,(1-NORMSDIST(W24)),(NORMSDIST(W24)))</f>
        <v>3.5880414380347343E-2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33.948893746436305</v>
      </c>
      <c r="E25" s="36">
        <v>1.24864</v>
      </c>
      <c r="F25" s="14">
        <v>32.088799999999999</v>
      </c>
      <c r="G25" s="36">
        <v>1.11093</v>
      </c>
      <c r="H25" s="4"/>
      <c r="I25" s="14">
        <f>F25-D25</f>
        <v>-1.8600937464363057</v>
      </c>
      <c r="J25" s="15">
        <f>SQRT(G25*G25+E25*E25)</f>
        <v>1.6713070676868449</v>
      </c>
      <c r="K25" s="15">
        <f>I25/J25</f>
        <v>-1.1129575063729904</v>
      </c>
      <c r="L25" s="15">
        <f>IF(K25&gt;0,(1-NORMSDIST(K25)),(NORMSDIST(K25)))</f>
        <v>0.13286334008054426</v>
      </c>
      <c r="M25" s="16" t="str">
        <f>IF(L25&lt;0.025,"Significativa","No significativa")</f>
        <v>No significativa</v>
      </c>
      <c r="O25" s="18" t="s">
        <v>22</v>
      </c>
      <c r="P25" s="46">
        <v>19.351256176353946</v>
      </c>
      <c r="Q25" s="36">
        <v>0.93002999999999991</v>
      </c>
      <c r="R25" s="14">
        <v>32.088799999999999</v>
      </c>
      <c r="S25" s="36">
        <v>1.11093</v>
      </c>
      <c r="T25" s="4"/>
      <c r="U25" s="14">
        <f>R25-P25</f>
        <v>12.737543823646053</v>
      </c>
      <c r="V25" s="15">
        <f t="shared" si="0"/>
        <v>1.4488344507913939</v>
      </c>
      <c r="W25" s="15">
        <f t="shared" si="1"/>
        <v>8.7915798914696222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57.994374862509758</v>
      </c>
      <c r="E26" s="36">
        <v>1.3461000000000001</v>
      </c>
      <c r="F26" s="14">
        <v>49.924600000000005</v>
      </c>
      <c r="G26" s="36">
        <v>1.2686299999999999</v>
      </c>
      <c r="H26" s="4"/>
      <c r="I26" s="14">
        <f>F26-D26</f>
        <v>-8.0697748625097532</v>
      </c>
      <c r="J26" s="15">
        <f>SQRT(G26*G26+E26*E26)</f>
        <v>1.8497046485587909</v>
      </c>
      <c r="K26" s="15">
        <f>I26/J26</f>
        <v>-4.3627369746826172</v>
      </c>
      <c r="L26" s="15">
        <f>IF(K26&gt;0,(1-NORMSDIST(K26)),(NORMSDIST(K26)))</f>
        <v>6.4222667270601296E-6</v>
      </c>
      <c r="M26" s="16" t="str">
        <f>IF(L26&lt;0.025,"Significativa","No significativa")</f>
        <v>Significativa</v>
      </c>
      <c r="O26" s="18" t="s">
        <v>23</v>
      </c>
      <c r="P26" s="46">
        <v>49.78776412733982</v>
      </c>
      <c r="Q26" s="36">
        <v>1.4935099999999999</v>
      </c>
      <c r="R26" s="14">
        <v>49.924600000000005</v>
      </c>
      <c r="S26" s="36">
        <v>1.2686299999999999</v>
      </c>
      <c r="T26" s="4"/>
      <c r="U26" s="14">
        <f>R26-P26</f>
        <v>0.13683587266018549</v>
      </c>
      <c r="V26" s="15">
        <f t="shared" si="0"/>
        <v>1.9595903135604644</v>
      </c>
      <c r="W26" s="15">
        <f t="shared" si="1"/>
        <v>6.9828816622165515E-2</v>
      </c>
      <c r="X26" s="15">
        <f>IF(W26&gt;0,(1-NORMSDIST(W26)),(NORMSDIST(W26)))</f>
        <v>0.47216495540312575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9.7868471431650939</v>
      </c>
      <c r="E27" s="36">
        <v>1.0204800000000001</v>
      </c>
      <c r="F27" s="14">
        <v>6.2975199999999996</v>
      </c>
      <c r="G27" s="36">
        <v>0.94074000000000002</v>
      </c>
      <c r="H27" s="4"/>
      <c r="I27" s="14">
        <f>F27-D27</f>
        <v>-3.4893271431650943</v>
      </c>
      <c r="J27" s="15">
        <f>SQRT(G27*G27+E27*E27)</f>
        <v>1.3879377428400743</v>
      </c>
      <c r="K27" s="15">
        <f>I27/J27</f>
        <v>-2.5140372190074185</v>
      </c>
      <c r="L27" s="15">
        <f>IF(K27&gt;0,(1-NORMSDIST(K27)),(NORMSDIST(K27)))</f>
        <v>5.9678918384349503E-3</v>
      </c>
      <c r="M27" s="16" t="str">
        <f>IF(L27&lt;0.025,"Significativa","No significativa")</f>
        <v>Significativa</v>
      </c>
      <c r="O27" s="18" t="s">
        <v>24</v>
      </c>
      <c r="P27" s="46">
        <v>7.076381685752267</v>
      </c>
      <c r="Q27" s="36">
        <v>0.82077</v>
      </c>
      <c r="R27" s="14">
        <v>6.2975199999999996</v>
      </c>
      <c r="S27" s="36">
        <v>0.94074000000000002</v>
      </c>
      <c r="T27" s="4"/>
      <c r="U27" s="14">
        <f>R27-P27</f>
        <v>-0.77886168575226744</v>
      </c>
      <c r="V27" s="15">
        <f t="shared" si="0"/>
        <v>1.2484611089257045</v>
      </c>
      <c r="W27" s="15">
        <f t="shared" si="1"/>
        <v>-0.62385738745396291</v>
      </c>
      <c r="X27" s="15">
        <f>IF(W27&gt;0,(1-NORMSDIST(W27)),(NORMSDIST(W27)))</f>
        <v>0.26636062372465436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10.358281790747482</v>
      </c>
      <c r="E28" s="36">
        <v>1.6383300000000001</v>
      </c>
      <c r="F28" s="14">
        <v>5.3840699999999995</v>
      </c>
      <c r="G28" s="36">
        <v>0.89832999999999996</v>
      </c>
      <c r="H28" s="4"/>
      <c r="I28" s="14">
        <f>F28-D28</f>
        <v>-4.9742117907474821</v>
      </c>
      <c r="J28" s="15">
        <f>SQRT(G28*G28+E28*E28)</f>
        <v>1.8684544355696771</v>
      </c>
      <c r="K28" s="15">
        <f>I28/J28</f>
        <v>-2.6622066324196361</v>
      </c>
      <c r="L28" s="15">
        <f>IF(K28&gt;0,(1-NORMSDIST(K28)),(NORMSDIST(K28)))</f>
        <v>3.8815103378572581E-3</v>
      </c>
      <c r="M28" s="16" t="str">
        <f>IF(L28&lt;0.025,"Significativa","No significativa")</f>
        <v>Significativa</v>
      </c>
      <c r="O28" s="18" t="s">
        <v>25</v>
      </c>
      <c r="P28" s="46">
        <v>8.1202735211623533</v>
      </c>
      <c r="Q28" s="36">
        <v>1.0609</v>
      </c>
      <c r="R28" s="14">
        <v>5.3840699999999995</v>
      </c>
      <c r="S28" s="36">
        <v>0.89832999999999996</v>
      </c>
      <c r="T28" s="4"/>
      <c r="U28" s="14">
        <f>R28-P28</f>
        <v>-2.7362035211623539</v>
      </c>
      <c r="V28" s="15">
        <f t="shared" si="0"/>
        <v>1.3901458912286868</v>
      </c>
      <c r="W28" s="15">
        <f t="shared" si="1"/>
        <v>-1.9682851551242206</v>
      </c>
      <c r="X28" s="15">
        <f>IF(W28&gt;0,(1-NORMSDIST(W28)),(NORMSDIST(W28)))</f>
        <v>2.4517618512954843E-2</v>
      </c>
      <c r="Y28" s="16" t="str">
        <f>IF(X28&lt;0.025,"Significativa","No significativa")</f>
        <v>Significativa</v>
      </c>
    </row>
    <row r="29" spans="3:25" x14ac:dyDescent="0.25">
      <c r="C29" s="18" t="s">
        <v>26</v>
      </c>
      <c r="D29" s="46">
        <v>17.880021647678916</v>
      </c>
      <c r="E29" s="36">
        <v>1.1180000000000001</v>
      </c>
      <c r="F29" s="14">
        <v>14.2843</v>
      </c>
      <c r="G29" s="36">
        <v>1.0618099999999999</v>
      </c>
      <c r="H29" s="4"/>
      <c r="I29" s="14">
        <f>F29-D29</f>
        <v>-3.595721647678916</v>
      </c>
      <c r="J29" s="15">
        <f>SQRT(G29*G29+E29*E29)</f>
        <v>1.5418704472490548</v>
      </c>
      <c r="K29" s="15">
        <f>I29/J29</f>
        <v>-2.3320517324229559</v>
      </c>
      <c r="L29" s="15">
        <f>IF(K29&gt;0,(1-NORMSDIST(K29)),(NORMSDIST(K29)))</f>
        <v>9.8489849142060874E-3</v>
      </c>
      <c r="M29" s="16" t="str">
        <f>IF(L29&lt;0.025,"Significativa","No significativa")</f>
        <v>Significativa</v>
      </c>
      <c r="O29" s="18" t="s">
        <v>26</v>
      </c>
      <c r="P29" s="46">
        <v>15.108983178377979</v>
      </c>
      <c r="Q29" s="36">
        <v>1.14595</v>
      </c>
      <c r="R29" s="14">
        <v>14.2843</v>
      </c>
      <c r="S29" s="36">
        <v>1.0618099999999999</v>
      </c>
      <c r="T29" s="4"/>
      <c r="U29" s="14">
        <f>R29-P29</f>
        <v>-0.82468317837797933</v>
      </c>
      <c r="V29" s="15">
        <f t="shared" si="0"/>
        <v>1.5622553820038516</v>
      </c>
      <c r="W29" s="15">
        <f t="shared" si="1"/>
        <v>-0.527879876669195</v>
      </c>
      <c r="X29" s="15">
        <f>IF(W29&gt;0,(1-NORMSDIST(W29)),(NORMSDIST(W29)))</f>
        <v>0.29879135625739556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E30" s="36"/>
      <c r="F30" s="14"/>
      <c r="G30" s="36"/>
      <c r="H30" s="4"/>
      <c r="I30" s="14"/>
      <c r="J30" s="15"/>
      <c r="K30" s="15"/>
      <c r="L30" s="15"/>
      <c r="M30" s="16"/>
      <c r="O30" s="8" t="s">
        <v>27</v>
      </c>
      <c r="P30" s="46"/>
      <c r="Q30" s="36"/>
      <c r="R30" s="14"/>
      <c r="S30" s="36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9.6264919201654156</v>
      </c>
      <c r="E31" s="36">
        <v>0.97087999999999997</v>
      </c>
      <c r="F31" s="14">
        <v>9.8365400000000012</v>
      </c>
      <c r="G31" s="36">
        <v>0.82640999999999998</v>
      </c>
      <c r="H31" s="22"/>
      <c r="I31" s="14">
        <f>F31-D31</f>
        <v>0.21004807983458562</v>
      </c>
      <c r="J31" s="15">
        <f>SQRT(((G31^2)+(E31^2)))</f>
        <v>1.2749750830898618</v>
      </c>
      <c r="K31" s="15">
        <f>(F31-D31)/SQRT(((G31^2)+(E31^2)))</f>
        <v>0.16474681162045984</v>
      </c>
      <c r="L31" s="15">
        <f>IF(K31&gt;0,(1-NORMSDIST(K31)),(NORMSDIST(K31)))</f>
        <v>0.4345716350086285</v>
      </c>
      <c r="M31" s="16" t="str">
        <f>IF(L31&lt;0.025,"Significativa","No significativa")</f>
        <v>No significativa</v>
      </c>
      <c r="O31" s="21" t="s">
        <v>28</v>
      </c>
      <c r="P31" s="46">
        <v>8.3379030052327145</v>
      </c>
      <c r="Q31" s="36">
        <v>1.02851</v>
      </c>
      <c r="R31" s="14">
        <v>9.8365400000000012</v>
      </c>
      <c r="S31" s="36">
        <v>0.82640999999999998</v>
      </c>
      <c r="T31" s="22"/>
      <c r="U31" s="14">
        <f>R31-P31</f>
        <v>1.4986369947672866</v>
      </c>
      <c r="V31" s="15">
        <f t="shared" si="0"/>
        <v>1.3193886115167131</v>
      </c>
      <c r="W31" s="15">
        <f t="shared" si="1"/>
        <v>1.1358571551140777</v>
      </c>
      <c r="X31" s="15">
        <f>IF(W31&gt;0,(1-NORMSDIST(W31)),(NORMSDIST(W31)))</f>
        <v>0.12800817603592685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42.013758897940363</v>
      </c>
      <c r="E32" s="33">
        <v>1.6189499999999999</v>
      </c>
      <c r="F32" s="32">
        <v>41.873800000000003</v>
      </c>
      <c r="G32" s="33">
        <v>1.3929800000000001</v>
      </c>
      <c r="H32" s="24"/>
      <c r="I32" s="32">
        <f>F32-D32</f>
        <v>-0.13995889794036032</v>
      </c>
      <c r="J32" s="25">
        <f>SQRT(((G32^2)+(E32^2)))</f>
        <v>2.135741647039735</v>
      </c>
      <c r="K32" s="25">
        <f>(F32-D32)/SQRT(((G32^2)+(E32^2)))</f>
        <v>-6.55317548048715E-2</v>
      </c>
      <c r="L32" s="25">
        <f>IF(K32&gt;0,(1-NORMSDIST(K32)),(NORMSDIST(K32)))</f>
        <v>0.47387531199367489</v>
      </c>
      <c r="M32" s="26" t="str">
        <f>IF(L32&lt;0.025,"Significativa","No significativa")</f>
        <v>No significativa</v>
      </c>
      <c r="O32" s="23" t="s">
        <v>29</v>
      </c>
      <c r="P32" s="30">
        <v>36.087541171132422</v>
      </c>
      <c r="Q32" s="33">
        <v>1.7052799999999999</v>
      </c>
      <c r="R32" s="32">
        <v>41.873800000000003</v>
      </c>
      <c r="S32" s="33">
        <v>1.3929800000000001</v>
      </c>
      <c r="T32" s="24"/>
      <c r="U32" s="32">
        <f>R32-P32</f>
        <v>5.7862588288675809</v>
      </c>
      <c r="V32" s="25">
        <f t="shared" si="0"/>
        <v>2.2019021683081199</v>
      </c>
      <c r="W32" s="25">
        <f t="shared" si="1"/>
        <v>2.6278455565142482</v>
      </c>
      <c r="X32" s="25">
        <f>IF(W32&gt;0,(1-NORMSDIST(W32)),(NORMSDIST(W32)))</f>
        <v>4.2963759247609534E-3</v>
      </c>
      <c r="Y32" s="26" t="str">
        <f>IF(X32&lt;0.025,"Significativa","No significativa")</f>
        <v>Significativa</v>
      </c>
    </row>
    <row r="33" spans="1:2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64</v>
      </c>
      <c r="P34" s="4"/>
      <c r="Q34" s="4"/>
      <c r="R34" s="4"/>
      <c r="S34" s="4"/>
      <c r="T34" s="4"/>
      <c r="U34" s="4"/>
      <c r="V34" s="4"/>
      <c r="W34" s="4"/>
      <c r="X34" s="4"/>
      <c r="Y34" s="28"/>
    </row>
  </sheetData>
  <mergeCells count="18">
    <mergeCell ref="O9:Y9"/>
    <mergeCell ref="O10:Y10"/>
    <mergeCell ref="O11:O12"/>
    <mergeCell ref="P11:Q11"/>
    <mergeCell ref="R11:S11"/>
    <mergeCell ref="W11:W12"/>
    <mergeCell ref="X11:X12"/>
    <mergeCell ref="Y11:Y12"/>
    <mergeCell ref="U12:V12"/>
    <mergeCell ref="K11:K12"/>
    <mergeCell ref="L11:L12"/>
    <mergeCell ref="M11:M12"/>
    <mergeCell ref="I12:J12"/>
    <mergeCell ref="C11:C12"/>
    <mergeCell ref="C9:M9"/>
    <mergeCell ref="C10:M10"/>
    <mergeCell ref="D11:E11"/>
    <mergeCell ref="F11:G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C01C-FD8D-4186-B1C3-E33FB27346D5}">
  <dimension ref="A4:Y34"/>
  <sheetViews>
    <sheetView zoomScaleNormal="100" workbookViewId="0">
      <selection activeCell="P3" sqref="P3"/>
    </sheetView>
  </sheetViews>
  <sheetFormatPr baseColWidth="10" defaultColWidth="11.42578125" defaultRowHeight="15" x14ac:dyDescent="0.25"/>
  <cols>
    <col min="1" max="1" width="1.7109375" style="1" customWidth="1"/>
    <col min="2" max="2" width="1.285156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1.5703125" style="1" bestFit="1" customWidth="1"/>
    <col min="10" max="10" width="13.570312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1.5703125" style="1" bestFit="1" customWidth="1"/>
    <col min="22" max="22" width="13.570312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68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67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6.7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39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43.565631543062558</v>
      </c>
      <c r="E14" s="36">
        <v>1.53512</v>
      </c>
      <c r="F14" s="14">
        <v>50.761699999999998</v>
      </c>
      <c r="G14" s="36">
        <v>1.15737</v>
      </c>
      <c r="H14" s="4"/>
      <c r="I14" s="14">
        <f>F14-D14</f>
        <v>7.1960684569374394</v>
      </c>
      <c r="J14" s="15">
        <f>SQRT(G14*G14+E14*E14)</f>
        <v>1.9225240522032487</v>
      </c>
      <c r="K14" s="15">
        <f>I14/J14</f>
        <v>3.7430316924725124</v>
      </c>
      <c r="L14" s="15">
        <f>IF(K14&gt;0,(1-NORMSDIST(K14)),(NORMSDIST(K14)))</f>
        <v>9.0906643586463609E-5</v>
      </c>
      <c r="M14" s="16" t="str">
        <f>IF(L14&lt;0.025,"Significativa","No significativa")</f>
        <v>Significativa</v>
      </c>
      <c r="O14" s="13" t="s">
        <v>11</v>
      </c>
      <c r="P14" s="46">
        <v>42.716003862390536</v>
      </c>
      <c r="Q14" s="36">
        <v>1.2703</v>
      </c>
      <c r="R14" s="14">
        <v>50.761699999999998</v>
      </c>
      <c r="S14" s="36">
        <v>1.15737</v>
      </c>
      <c r="T14" s="4"/>
      <c r="U14" s="14">
        <f>R14-P14</f>
        <v>8.0456961376094611</v>
      </c>
      <c r="V14" s="15">
        <f>SQRT(S14*S14+Q14*Q14)</f>
        <v>1.7184782241564773</v>
      </c>
      <c r="W14" s="15">
        <f>U14/V14</f>
        <v>4.681872615266176</v>
      </c>
      <c r="X14" s="15">
        <f>IF(W14&gt;0,(1-NORMSDIST(W14)),(NORMSDIST(W14)))</f>
        <v>1.421330578454949E-6</v>
      </c>
      <c r="Y14" s="16" t="str">
        <f>IF(X14&lt;0.025,"Significativa","No significativa")</f>
        <v>Significativa</v>
      </c>
    </row>
    <row r="15" spans="1:25" ht="15" customHeight="1" x14ac:dyDescent="0.25">
      <c r="C15" s="13" t="s">
        <v>12</v>
      </c>
      <c r="D15" s="46">
        <v>36.635044175347701</v>
      </c>
      <c r="E15" s="36">
        <v>1.4100899999999998</v>
      </c>
      <c r="F15" s="14">
        <v>42.4801</v>
      </c>
      <c r="G15" s="36">
        <v>1.0311999999999999</v>
      </c>
      <c r="H15" s="4"/>
      <c r="I15" s="14">
        <f>F15-D15</f>
        <v>5.8450558246522988</v>
      </c>
      <c r="J15" s="15">
        <f>SQRT(G15*G15+E15*E15)</f>
        <v>1.7469193593580672</v>
      </c>
      <c r="K15" s="15">
        <f>I15/J15</f>
        <v>3.3459219473073767</v>
      </c>
      <c r="L15" s="15">
        <f>IF(K15&gt;0,(1-NORMSDIST(K15)),(NORMSDIST(K15)))</f>
        <v>4.1004738653438455E-4</v>
      </c>
      <c r="M15" s="16" t="str">
        <f>IF(L15&lt;0.025,"Significativa","No significativa")</f>
        <v>Significativa</v>
      </c>
      <c r="O15" s="13" t="s">
        <v>12</v>
      </c>
      <c r="P15" s="46">
        <v>37.815574644364993</v>
      </c>
      <c r="Q15" s="36">
        <v>1.2071000000000001</v>
      </c>
      <c r="R15" s="14">
        <v>42.4801</v>
      </c>
      <c r="S15" s="36">
        <v>1.0311999999999999</v>
      </c>
      <c r="T15" s="4"/>
      <c r="U15" s="14">
        <f t="shared" ref="U15:U32" si="0">R15-P15</f>
        <v>4.664525355635007</v>
      </c>
      <c r="V15" s="15">
        <f t="shared" ref="V15:V32" si="1">SQRT(S15*S15+Q15*Q15)</f>
        <v>1.5875968789336921</v>
      </c>
      <c r="W15" s="15">
        <f t="shared" ref="W15:W32" si="2">U15/V15</f>
        <v>2.9381043875369239</v>
      </c>
      <c r="X15" s="15">
        <f>IF(W15&gt;0,(1-NORMSDIST(W15)),(NORMSDIST(W15)))</f>
        <v>1.6511290720541139E-3</v>
      </c>
      <c r="Y15" s="16" t="str">
        <f>IF(X15&lt;0.025,"Significativa","No significativa")</f>
        <v>Significativa</v>
      </c>
    </row>
    <row r="16" spans="1:25" ht="15" customHeight="1" x14ac:dyDescent="0.25">
      <c r="C16" s="13" t="s">
        <v>13</v>
      </c>
      <c r="D16" s="46">
        <v>6.9305873677148595</v>
      </c>
      <c r="E16" s="36">
        <v>0.54113</v>
      </c>
      <c r="F16" s="14">
        <v>8.2815799999999999</v>
      </c>
      <c r="G16" s="36">
        <v>0.63775999999999999</v>
      </c>
      <c r="H16" s="4"/>
      <c r="I16" s="14">
        <f>F16-D16</f>
        <v>1.3509926322851404</v>
      </c>
      <c r="J16" s="15">
        <f>SQRT(G16*G16+E16*E16)</f>
        <v>0.83639673271719561</v>
      </c>
      <c r="K16" s="15">
        <f>I16/J16</f>
        <v>1.6152533593671285</v>
      </c>
      <c r="L16" s="15">
        <f>IF(K16&gt;0,(1-NORMSDIST(K16)),(NORMSDIST(K16)))</f>
        <v>5.3127919740638574E-2</v>
      </c>
      <c r="M16" s="16" t="str">
        <f>IF(L16&lt;0.025,"Significativa","No significativa")</f>
        <v>No significativa</v>
      </c>
      <c r="O16" s="13" t="s">
        <v>13</v>
      </c>
      <c r="P16" s="46">
        <v>4.9004292180255389</v>
      </c>
      <c r="Q16" s="36">
        <v>0.60863</v>
      </c>
      <c r="R16" s="14">
        <v>8.2815799999999999</v>
      </c>
      <c r="S16" s="36">
        <v>0.63775999999999999</v>
      </c>
      <c r="T16" s="4"/>
      <c r="U16" s="14">
        <f t="shared" si="0"/>
        <v>3.3811507819744611</v>
      </c>
      <c r="V16" s="15">
        <f t="shared" si="1"/>
        <v>0.88157149142880065</v>
      </c>
      <c r="W16" s="15">
        <f t="shared" si="2"/>
        <v>3.83536765293361</v>
      </c>
      <c r="X16" s="15">
        <f>IF(W16&gt;0,(1-NORMSDIST(W16)),(NORMSDIST(W16)))</f>
        <v>6.2688302767566206E-5</v>
      </c>
      <c r="Y16" s="16" t="str">
        <f>IF(X16&lt;0.025,"Significativa","No significativa")</f>
        <v>Significativa</v>
      </c>
    </row>
    <row r="17" spans="3:25" ht="15" customHeight="1" x14ac:dyDescent="0.25">
      <c r="C17" s="13" t="s">
        <v>14</v>
      </c>
      <c r="D17" s="46">
        <v>35.570021096746011</v>
      </c>
      <c r="E17" s="36">
        <v>1.3369</v>
      </c>
      <c r="F17" s="14">
        <v>20.880499999999998</v>
      </c>
      <c r="G17" s="36">
        <v>0.83618000000000003</v>
      </c>
      <c r="H17" s="4"/>
      <c r="I17" s="14">
        <f>F17-D17</f>
        <v>-14.689521096746013</v>
      </c>
      <c r="J17" s="15">
        <f>SQRT(G17*G17+E17*E17)</f>
        <v>1.5768635332202974</v>
      </c>
      <c r="K17" s="15">
        <f>I17/J17</f>
        <v>-9.3156578151990264</v>
      </c>
      <c r="L17" s="15">
        <f>IF(K17&gt;0,(1-NORMSDIST(K17)),(NORMSDIST(K17)))</f>
        <v>6.0599577988634177E-21</v>
      </c>
      <c r="M17" s="16" t="str">
        <f>IF(L17&lt;0.025,"Significativa","No significativa")</f>
        <v>Significativa</v>
      </c>
      <c r="O17" s="13" t="s">
        <v>14</v>
      </c>
      <c r="P17" s="46">
        <v>28.122681559553104</v>
      </c>
      <c r="Q17" s="36">
        <v>1.1784299999999999</v>
      </c>
      <c r="R17" s="14">
        <v>20.880499999999998</v>
      </c>
      <c r="S17" s="36">
        <v>0.83618000000000003</v>
      </c>
      <c r="T17" s="4"/>
      <c r="U17" s="14">
        <f t="shared" si="0"/>
        <v>-7.2421815595531065</v>
      </c>
      <c r="V17" s="15">
        <f t="shared" si="1"/>
        <v>1.4449547596032202</v>
      </c>
      <c r="W17" s="15">
        <f t="shared" si="2"/>
        <v>-5.0120472709760033</v>
      </c>
      <c r="X17" s="15">
        <f>IF(W17&gt;0,(1-NORMSDIST(W17)),(NORMSDIST(W17)))</f>
        <v>2.6926984699243044E-7</v>
      </c>
      <c r="Y17" s="16" t="str">
        <f>IF(X17&lt;0.025,"Significativa","No significativa")</f>
        <v>Significativa</v>
      </c>
    </row>
    <row r="18" spans="3:25" ht="15" customHeight="1" x14ac:dyDescent="0.25">
      <c r="C18" s="13" t="s">
        <v>15</v>
      </c>
      <c r="D18" s="46">
        <v>4.3444395620115515</v>
      </c>
      <c r="E18" s="36">
        <v>0.60846</v>
      </c>
      <c r="F18" s="14">
        <v>10.0747</v>
      </c>
      <c r="G18" s="36">
        <v>0.62744</v>
      </c>
      <c r="H18" s="4"/>
      <c r="I18" s="14">
        <f>F18-D18</f>
        <v>5.7302604379884485</v>
      </c>
      <c r="J18" s="15">
        <f>SQRT(G18*G18+E18*E18)</f>
        <v>0.87401631861195828</v>
      </c>
      <c r="K18" s="15">
        <f>I18/J18</f>
        <v>6.5562396444597084</v>
      </c>
      <c r="L18" s="15">
        <f>IF(K18&gt;0,(1-NORMSDIST(K18)),(NORMSDIST(K18)))</f>
        <v>2.759081851877454E-11</v>
      </c>
      <c r="M18" s="16" t="str">
        <f>IF(L18&lt;0.025,"Significativa","No significativa")</f>
        <v>Significativa</v>
      </c>
      <c r="O18" s="13" t="s">
        <v>15</v>
      </c>
      <c r="P18" s="46">
        <v>8.724742637013799</v>
      </c>
      <c r="Q18" s="36">
        <v>0.67223999999999995</v>
      </c>
      <c r="R18" s="14">
        <v>10.0747</v>
      </c>
      <c r="S18" s="36">
        <v>0.62744</v>
      </c>
      <c r="T18" s="4"/>
      <c r="U18" s="14">
        <f t="shared" si="0"/>
        <v>1.3499573629862009</v>
      </c>
      <c r="V18" s="15">
        <f t="shared" si="1"/>
        <v>0.91955835660386442</v>
      </c>
      <c r="W18" s="15">
        <f t="shared" si="2"/>
        <v>1.4680496928676683</v>
      </c>
      <c r="X18" s="15">
        <f>IF(W18&gt;0,(1-NORMSDIST(W18)),(NORMSDIST(W18)))</f>
        <v>7.1045362587996541E-2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16.519907798179872</v>
      </c>
      <c r="E19" s="36">
        <v>1.11321</v>
      </c>
      <c r="F19" s="14">
        <v>18.283100000000001</v>
      </c>
      <c r="G19" s="36">
        <v>0.80520999999999998</v>
      </c>
      <c r="H19" s="4"/>
      <c r="I19" s="14">
        <f>F19-D19</f>
        <v>1.7631922018201287</v>
      </c>
      <c r="J19" s="15">
        <f>SQRT(G19*G19+E19*E19)</f>
        <v>1.3738994316179041</v>
      </c>
      <c r="K19" s="15">
        <f>I19/J19</f>
        <v>1.2833488108687792</v>
      </c>
      <c r="L19" s="15">
        <f>IF(K19&gt;0,(1-NORMSDIST(K19)),(NORMSDIST(K19)))</f>
        <v>9.9684949574441406E-2</v>
      </c>
      <c r="M19" s="16" t="str">
        <f>IF(L19&lt;0.025,"Significativa","No significativa")</f>
        <v>No significativa</v>
      </c>
      <c r="O19" s="13" t="s">
        <v>16</v>
      </c>
      <c r="P19" s="46">
        <v>20.436571941042565</v>
      </c>
      <c r="Q19" s="36">
        <v>0.88471999999999995</v>
      </c>
      <c r="R19" s="14">
        <v>18.283100000000001</v>
      </c>
      <c r="S19" s="36">
        <v>0.80520999999999998</v>
      </c>
      <c r="T19" s="4"/>
      <c r="U19" s="14">
        <f t="shared" si="0"/>
        <v>-2.1534719410425645</v>
      </c>
      <c r="V19" s="15">
        <f t="shared" si="1"/>
        <v>1.1962828354950179</v>
      </c>
      <c r="W19" s="15">
        <f t="shared" si="2"/>
        <v>-1.8001361192743894</v>
      </c>
      <c r="X19" s="15">
        <f>IF(W19&gt;0,(1-NORMSDIST(W19)),(NORMSDIST(W19)))</f>
        <v>3.591957379113276E-2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D20" s="46"/>
      <c r="E20" s="36">
        <v>0</v>
      </c>
      <c r="F20" s="14"/>
      <c r="G20" s="36">
        <v>0</v>
      </c>
      <c r="H20" s="4"/>
      <c r="I20" s="14"/>
      <c r="J20" s="15"/>
      <c r="K20" s="15"/>
      <c r="L20" s="15"/>
      <c r="M20" s="16"/>
      <c r="O20" s="17" t="s">
        <v>17</v>
      </c>
      <c r="P20" s="46"/>
      <c r="Q20" s="36"/>
      <c r="R20" s="14"/>
      <c r="S20" s="36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79.135652639808569</v>
      </c>
      <c r="E21" s="36">
        <v>1.1760299999999999</v>
      </c>
      <c r="F21" s="14">
        <v>71.642200000000003</v>
      </c>
      <c r="G21" s="36">
        <v>0.96930000000000005</v>
      </c>
      <c r="H21" s="4"/>
      <c r="I21" s="14">
        <f>F21-D21</f>
        <v>-7.4934526398085666</v>
      </c>
      <c r="J21" s="15">
        <f>SQRT(G21*G21+E21*E21)</f>
        <v>1.5240042817853237</v>
      </c>
      <c r="K21" s="15">
        <f>I21/J21</f>
        <v>-4.9169498598981756</v>
      </c>
      <c r="L21" s="15">
        <f>IF(K21&gt;0,(1-NORMSDIST(K21)),(NORMSDIST(K21)))</f>
        <v>4.395152714681783E-7</v>
      </c>
      <c r="M21" s="16" t="str">
        <f>IF(L21&lt;0.025,"Significativa","No significativa")</f>
        <v>Significativa</v>
      </c>
      <c r="O21" s="18" t="s">
        <v>18</v>
      </c>
      <c r="P21" s="46">
        <v>70.838685421943637</v>
      </c>
      <c r="Q21" s="36">
        <v>1.0033800000000002</v>
      </c>
      <c r="R21" s="14">
        <v>71.642200000000003</v>
      </c>
      <c r="S21" s="36">
        <v>0.96930000000000005</v>
      </c>
      <c r="T21" s="4"/>
      <c r="U21" s="14">
        <f t="shared" si="0"/>
        <v>0.80351457805636528</v>
      </c>
      <c r="V21" s="15">
        <f t="shared" si="1"/>
        <v>1.3951035497051825</v>
      </c>
      <c r="W21" s="15">
        <f t="shared" si="2"/>
        <v>0.57595336075674552</v>
      </c>
      <c r="X21" s="15">
        <f>IF(W21&gt;0,(1-NORMSDIST(W21)),(NORMSDIST(W21)))</f>
        <v>0.28232335322583413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29.42977856529544</v>
      </c>
      <c r="E22" s="36">
        <v>1.1899599999999999</v>
      </c>
      <c r="F22" s="14">
        <v>18.4375</v>
      </c>
      <c r="G22" s="36">
        <v>0.81252999999999997</v>
      </c>
      <c r="H22" s="4"/>
      <c r="I22" s="14">
        <f>F22-D22</f>
        <v>-10.99227856529544</v>
      </c>
      <c r="J22" s="15">
        <f>SQRT(G22*G22+E22*E22)</f>
        <v>1.4409058964762409</v>
      </c>
      <c r="K22" s="15">
        <f>I22/J22</f>
        <v>-7.6287275887878856</v>
      </c>
      <c r="L22" s="15">
        <f>IF(K22&gt;0,(1-NORMSDIST(K22)),(NORMSDIST(K22)))</f>
        <v>1.1854100378634152E-14</v>
      </c>
      <c r="M22" s="16" t="str">
        <f>IF(L22&lt;0.025,"Significativa","No significativa")</f>
        <v>Significativa</v>
      </c>
      <c r="O22" s="18" t="s">
        <v>19</v>
      </c>
      <c r="P22" s="46">
        <v>15.229782406855264</v>
      </c>
      <c r="Q22" s="36">
        <v>0.87735999999999992</v>
      </c>
      <c r="R22" s="14">
        <v>18.4375</v>
      </c>
      <c r="S22" s="36">
        <v>0.81252999999999997</v>
      </c>
      <c r="T22" s="4"/>
      <c r="U22" s="14">
        <f t="shared" si="0"/>
        <v>3.2077175931447357</v>
      </c>
      <c r="V22" s="15">
        <f t="shared" si="1"/>
        <v>1.1958116785263471</v>
      </c>
      <c r="W22" s="15">
        <f t="shared" si="2"/>
        <v>2.6824605000494319</v>
      </c>
      <c r="X22" s="15">
        <f>IF(W22&gt;0,(1-NORMSDIST(W22)),(NORMSDIST(W22)))</f>
        <v>3.6541390894527792E-3</v>
      </c>
      <c r="Y22" s="16" t="str">
        <f>IF(X22&lt;0.025,"Significativa","No significativa")</f>
        <v>Significativa</v>
      </c>
    </row>
    <row r="23" spans="3:25" x14ac:dyDescent="0.25">
      <c r="C23" s="19" t="s">
        <v>20</v>
      </c>
      <c r="D23" s="46"/>
      <c r="E23" s="36">
        <v>0</v>
      </c>
      <c r="F23" s="14"/>
      <c r="G23" s="36">
        <v>0</v>
      </c>
      <c r="H23" s="4"/>
      <c r="I23" s="14"/>
      <c r="J23" s="15"/>
      <c r="K23" s="15"/>
      <c r="L23" s="15"/>
      <c r="M23" s="16"/>
      <c r="O23" s="19" t="s">
        <v>20</v>
      </c>
      <c r="P23" s="46"/>
      <c r="Q23" s="36"/>
      <c r="R23" s="14"/>
      <c r="S23" s="36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18.719790774321112</v>
      </c>
      <c r="E24" s="36">
        <v>0.83047999999999988</v>
      </c>
      <c r="F24" s="14">
        <v>11.2719</v>
      </c>
      <c r="G24" s="36">
        <v>0.42865000000000003</v>
      </c>
      <c r="H24" s="4"/>
      <c r="I24" s="14">
        <f>F24-D24</f>
        <v>-7.4478907743211114</v>
      </c>
      <c r="J24" s="15">
        <f>SQRT(G24*G24+E24*E24)</f>
        <v>0.93457897092755082</v>
      </c>
      <c r="K24" s="15">
        <f>I24/J24</f>
        <v>-7.9692471219732557</v>
      </c>
      <c r="L24" s="15">
        <f>IF(K24&gt;0,(1-NORMSDIST(K24)),(NORMSDIST(K24)))</f>
        <v>7.9821970331402067E-16</v>
      </c>
      <c r="M24" s="16" t="str">
        <f>IF(L24&lt;0.025,"Significativa","No significativa")</f>
        <v>Significativa</v>
      </c>
      <c r="O24" s="20" t="s">
        <v>21</v>
      </c>
      <c r="P24" s="46">
        <v>12.860131436522753</v>
      </c>
      <c r="Q24" s="36">
        <v>0.47076000000000001</v>
      </c>
      <c r="R24" s="14">
        <v>11.2719</v>
      </c>
      <c r="S24" s="36">
        <v>0.42865000000000003</v>
      </c>
      <c r="T24" s="4"/>
      <c r="U24" s="14">
        <f t="shared" si="0"/>
        <v>-1.5882314365227526</v>
      </c>
      <c r="V24" s="15">
        <f t="shared" si="1"/>
        <v>0.63667558465830931</v>
      </c>
      <c r="W24" s="15">
        <f t="shared" si="2"/>
        <v>-2.4945694083355243</v>
      </c>
      <c r="X24" s="15">
        <f>IF(W24&gt;0,(1-NORMSDIST(W24)),(NORMSDIST(W24)))</f>
        <v>6.3055029958641222E-3</v>
      </c>
      <c r="Y24" s="16" t="str">
        <f>IF(X24&lt;0.025,"Significativa","No significativa")</f>
        <v>Significativa</v>
      </c>
    </row>
    <row r="25" spans="3:25" x14ac:dyDescent="0.25">
      <c r="C25" s="18" t="s">
        <v>22</v>
      </c>
      <c r="D25" s="46">
        <v>42.580160846545425</v>
      </c>
      <c r="E25" s="36">
        <v>1.24864</v>
      </c>
      <c r="F25" s="14">
        <v>34.236400000000003</v>
      </c>
      <c r="G25" s="36">
        <v>0.96223000000000003</v>
      </c>
      <c r="H25" s="4"/>
      <c r="I25" s="14">
        <f>F25-D25</f>
        <v>-8.3437608465454218</v>
      </c>
      <c r="J25" s="15">
        <f>SQRT(G25*G25+E25*E25)</f>
        <v>1.5763846048791519</v>
      </c>
      <c r="K25" s="15">
        <f>I25/J25</f>
        <v>-5.2929728067123998</v>
      </c>
      <c r="L25" s="15">
        <f>IF(K25&gt;0,(1-NORMSDIST(K25)),(NORMSDIST(K25)))</f>
        <v>6.0171910520410739E-8</v>
      </c>
      <c r="M25" s="16" t="str">
        <f>IF(L25&lt;0.025,"Significativa","No significativa")</f>
        <v>Significativa</v>
      </c>
      <c r="O25" s="18" t="s">
        <v>22</v>
      </c>
      <c r="P25" s="46">
        <v>19.753985715222903</v>
      </c>
      <c r="Q25" s="36">
        <v>0.85705999999999993</v>
      </c>
      <c r="R25" s="14">
        <v>34.236400000000003</v>
      </c>
      <c r="S25" s="36">
        <v>0.96223000000000003</v>
      </c>
      <c r="T25" s="4"/>
      <c r="U25" s="14">
        <f t="shared" si="0"/>
        <v>14.4824142847771</v>
      </c>
      <c r="V25" s="15">
        <f t="shared" si="1"/>
        <v>1.2885800000388024</v>
      </c>
      <c r="W25" s="15">
        <f t="shared" si="2"/>
        <v>11.239049406587871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68.263778532844</v>
      </c>
      <c r="E26" s="36">
        <v>1.3461000000000001</v>
      </c>
      <c r="F26" s="14">
        <v>59.940599999999996</v>
      </c>
      <c r="G26" s="36">
        <v>1.03135</v>
      </c>
      <c r="H26" s="4"/>
      <c r="I26" s="14">
        <f>F26-D26</f>
        <v>-8.323178532844004</v>
      </c>
      <c r="J26" s="15">
        <f>SQRT(G26*G26+E26*E26)</f>
        <v>1.6957794763765719</v>
      </c>
      <c r="K26" s="15">
        <f>I26/J26</f>
        <v>-4.908172700986106</v>
      </c>
      <c r="L26" s="15">
        <f>IF(K26&gt;0,(1-NORMSDIST(K26)),(NORMSDIST(K26)))</f>
        <v>4.5964443894787916E-7</v>
      </c>
      <c r="M26" s="16" t="str">
        <f>IF(L26&lt;0.025,"Significativa","No significativa")</f>
        <v>Significativa</v>
      </c>
      <c r="O26" s="18" t="s">
        <v>23</v>
      </c>
      <c r="P26" s="46">
        <v>59.215831023866883</v>
      </c>
      <c r="Q26" s="36">
        <v>1.07792</v>
      </c>
      <c r="R26" s="14">
        <v>59.940599999999996</v>
      </c>
      <c r="S26" s="36">
        <v>1.03135</v>
      </c>
      <c r="T26" s="4"/>
      <c r="U26" s="14">
        <f t="shared" si="0"/>
        <v>0.72476897613311309</v>
      </c>
      <c r="V26" s="15">
        <f t="shared" si="1"/>
        <v>1.4918426019188484</v>
      </c>
      <c r="W26" s="15">
        <f t="shared" si="2"/>
        <v>0.48582134281518408</v>
      </c>
      <c r="X26" s="15">
        <f>IF(W26&gt;0,(1-NORMSDIST(W26)),(NORMSDIST(W26)))</f>
        <v>0.31354692035092824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14.394252519208436</v>
      </c>
      <c r="E27" s="36">
        <v>1.0204800000000001</v>
      </c>
      <c r="F27" s="14">
        <v>7.1897400000000005</v>
      </c>
      <c r="G27" s="36">
        <v>0.64815</v>
      </c>
      <c r="H27" s="4"/>
      <c r="I27" s="14">
        <f>F27-D27</f>
        <v>-7.2045125192084356</v>
      </c>
      <c r="J27" s="15">
        <f>SQRT(G27*G27+E27*E27)</f>
        <v>1.2089159825645452</v>
      </c>
      <c r="K27" s="15">
        <f>I27/J27</f>
        <v>-5.9594815711883262</v>
      </c>
      <c r="L27" s="15">
        <f>IF(K27&gt;0,(1-NORMSDIST(K27)),(NORMSDIST(K27)))</f>
        <v>1.2651969763953201E-9</v>
      </c>
      <c r="M27" s="16" t="str">
        <f>IF(L27&lt;0.025,"Significativa","No significativa")</f>
        <v>Significativa</v>
      </c>
      <c r="O27" s="18" t="s">
        <v>24</v>
      </c>
      <c r="P27" s="46">
        <v>9.6480575208418013</v>
      </c>
      <c r="Q27" s="36">
        <v>0.90966000000000002</v>
      </c>
      <c r="R27" s="14">
        <v>7.1897400000000005</v>
      </c>
      <c r="S27" s="36">
        <v>0.64815</v>
      </c>
      <c r="T27" s="4"/>
      <c r="U27" s="14">
        <f t="shared" si="0"/>
        <v>-2.4583175208418009</v>
      </c>
      <c r="V27" s="15">
        <f t="shared" si="1"/>
        <v>1.1169510902899911</v>
      </c>
      <c r="W27" s="15">
        <f t="shared" si="2"/>
        <v>-2.2009177861168068</v>
      </c>
      <c r="X27" s="15">
        <f>IF(W27&gt;0,(1-NORMSDIST(W27)),(NORMSDIST(W27)))</f>
        <v>1.3870922276635495E-2</v>
      </c>
      <c r="Y27" s="16" t="str">
        <f>IF(X27&lt;0.025,"Significativa","No significativa")</f>
        <v>Significativa</v>
      </c>
    </row>
    <row r="28" spans="3:25" x14ac:dyDescent="0.25">
      <c r="C28" s="18" t="s">
        <v>25</v>
      </c>
      <c r="D28" s="46">
        <v>17.257992573918912</v>
      </c>
      <c r="E28" s="36">
        <v>1.6383300000000001</v>
      </c>
      <c r="F28" s="14">
        <v>9.8796400000000002</v>
      </c>
      <c r="G28" s="36">
        <v>1.00179</v>
      </c>
      <c r="H28" s="4"/>
      <c r="I28" s="14">
        <f>F28-D28</f>
        <v>-7.378352573918912</v>
      </c>
      <c r="J28" s="15">
        <f>SQRT(G28*G28+E28*E28)</f>
        <v>1.9203406971160093</v>
      </c>
      <c r="K28" s="15">
        <f>I28/J28</f>
        <v>-3.8422101791623802</v>
      </c>
      <c r="L28" s="15">
        <f>IF(K28&gt;0,(1-NORMSDIST(K28)),(NORMSDIST(K28)))</f>
        <v>6.0965675912579897E-5</v>
      </c>
      <c r="M28" s="16" t="str">
        <f>IF(L28&lt;0.025,"Significativa","No significativa")</f>
        <v>Significativa</v>
      </c>
      <c r="O28" s="18" t="s">
        <v>25</v>
      </c>
      <c r="P28" s="46">
        <v>10.331272044553225</v>
      </c>
      <c r="Q28" s="36">
        <v>0.88240000000000007</v>
      </c>
      <c r="R28" s="14">
        <v>9.8796400000000002</v>
      </c>
      <c r="S28" s="36">
        <v>1.00179</v>
      </c>
      <c r="T28" s="4"/>
      <c r="U28" s="14">
        <f t="shared" si="0"/>
        <v>-0.45163204455322514</v>
      </c>
      <c r="V28" s="15">
        <f t="shared" si="1"/>
        <v>1.3349954921646741</v>
      </c>
      <c r="W28" s="15">
        <f t="shared" si="2"/>
        <v>-0.33830229929908673</v>
      </c>
      <c r="X28" s="15">
        <f>IF(W28&gt;0,(1-NORMSDIST(W28)),(NORMSDIST(W28)))</f>
        <v>0.36756769558846414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21.204663602765258</v>
      </c>
      <c r="E29" s="36">
        <v>0</v>
      </c>
      <c r="F29" s="14">
        <v>21.428699999999999</v>
      </c>
      <c r="G29" s="36">
        <v>1.02593</v>
      </c>
      <c r="H29" s="4"/>
      <c r="I29" s="14">
        <f>F29-D29</f>
        <v>0.224036397234741</v>
      </c>
      <c r="J29" s="15">
        <f>SQRT(G29*G29+E29*E29)</f>
        <v>1.02593</v>
      </c>
      <c r="K29" s="15">
        <f>I29/J29</f>
        <v>0.21837396044051835</v>
      </c>
      <c r="L29" s="15">
        <f>IF(K29&gt;0,(1-NORMSDIST(K29)),(NORMSDIST(K29)))</f>
        <v>0.41356887625705507</v>
      </c>
      <c r="M29" s="16" t="str">
        <f>IF(L29&lt;0.025,"Significativa","No significativa")</f>
        <v>No significativa</v>
      </c>
      <c r="O29" s="18" t="s">
        <v>26</v>
      </c>
      <c r="P29" s="46">
        <v>19.844245518665289</v>
      </c>
      <c r="Q29" s="36">
        <v>1.0274300000000001</v>
      </c>
      <c r="R29" s="14">
        <v>21.428699999999999</v>
      </c>
      <c r="S29" s="36">
        <v>1.02593</v>
      </c>
      <c r="T29" s="4"/>
      <c r="U29" s="14">
        <f t="shared" si="0"/>
        <v>1.5844544813347099</v>
      </c>
      <c r="V29" s="15">
        <f t="shared" si="1"/>
        <v>1.4519451676285851</v>
      </c>
      <c r="W29" s="15">
        <f t="shared" si="2"/>
        <v>1.0912633043316284</v>
      </c>
      <c r="X29" s="15">
        <f>IF(W29&gt;0,(1-NORMSDIST(W29)),(NORMSDIST(W29)))</f>
        <v>0.13757851984153269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E30" s="36">
        <v>1.1180000000000001</v>
      </c>
      <c r="F30" s="14"/>
      <c r="G30" s="36">
        <v>0</v>
      </c>
      <c r="H30" s="4"/>
      <c r="I30" s="14"/>
      <c r="J30" s="15"/>
      <c r="K30" s="15"/>
      <c r="L30" s="15"/>
      <c r="M30" s="16"/>
      <c r="O30" s="8" t="s">
        <v>27</v>
      </c>
      <c r="P30" s="46"/>
      <c r="Q30" s="36"/>
      <c r="R30" s="14"/>
      <c r="S30" s="36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11.20309070143783</v>
      </c>
      <c r="E31" s="36">
        <v>0.97087999999999997</v>
      </c>
      <c r="F31" s="14">
        <v>22.9955</v>
      </c>
      <c r="G31" s="36">
        <v>1.1747799999999999</v>
      </c>
      <c r="H31" s="22"/>
      <c r="I31" s="14">
        <f>F31-D31</f>
        <v>11.79240929856217</v>
      </c>
      <c r="J31" s="15">
        <f>SQRT(((G31^2)+(E31^2)))</f>
        <v>1.5240459385464731</v>
      </c>
      <c r="K31" s="15">
        <f>(F31-D31)/SQRT(((G31^2)+(E31^2)))</f>
        <v>7.7375681403730736</v>
      </c>
      <c r="L31" s="15">
        <f>IF(K31&gt;0,(1-NORMSDIST(K31)),(NORMSDIST(K31)))</f>
        <v>5.1070259132757201E-15</v>
      </c>
      <c r="M31" s="16" t="str">
        <f>IF(L31&lt;0.025,"Significativa","No significativa")</f>
        <v>Significativa</v>
      </c>
      <c r="O31" s="21" t="s">
        <v>28</v>
      </c>
      <c r="P31" s="46">
        <v>13.828746032312964</v>
      </c>
      <c r="Q31" s="36">
        <v>1.0357799999999999</v>
      </c>
      <c r="R31" s="14">
        <v>22.9955</v>
      </c>
      <c r="S31" s="36">
        <v>1.1747799999999999</v>
      </c>
      <c r="T31" s="22"/>
      <c r="U31" s="14">
        <f t="shared" si="0"/>
        <v>9.1667539676870362</v>
      </c>
      <c r="V31" s="15">
        <f t="shared" si="1"/>
        <v>1.5661890871794504</v>
      </c>
      <c r="W31" s="15">
        <f t="shared" si="2"/>
        <v>5.8529037411411426</v>
      </c>
      <c r="X31" s="15">
        <f>IF(W31&gt;0,(1-NORMSDIST(W31)),(NORMSDIST(W31)))</f>
        <v>2.4153187228037609E-9</v>
      </c>
      <c r="Y31" s="16" t="str">
        <f>IF(X31&lt;0.025,"Significativa","No significativa")</f>
        <v>Significativa</v>
      </c>
    </row>
    <row r="32" spans="3:25" ht="15" customHeight="1" thickBot="1" x14ac:dyDescent="0.3">
      <c r="C32" s="23" t="s">
        <v>29</v>
      </c>
      <c r="D32" s="30">
        <v>47.910071105074117</v>
      </c>
      <c r="E32" s="33">
        <v>1.6189499999999999</v>
      </c>
      <c r="F32" s="32">
        <v>60.836400000000005</v>
      </c>
      <c r="G32" s="33">
        <v>1.1489900000000002</v>
      </c>
      <c r="H32" s="24"/>
      <c r="I32" s="32">
        <f>F32-D32</f>
        <v>12.926328894925888</v>
      </c>
      <c r="J32" s="25">
        <f>SQRT(((G32^2)+(E32^2)))</f>
        <v>1.9852398148838342</v>
      </c>
      <c r="K32" s="25">
        <f>(F32-D32)/SQRT(((G32^2)+(E32^2)))</f>
        <v>6.5112178377715386</v>
      </c>
      <c r="L32" s="25">
        <f>IF(K32&gt;0,(1-NORMSDIST(K32)),(NORMSDIST(K32)))</f>
        <v>3.7271963293505905E-11</v>
      </c>
      <c r="M32" s="26" t="str">
        <f>IF(L32&lt;0.025,"Significativa","No significativa")</f>
        <v>Significativa</v>
      </c>
      <c r="O32" s="23" t="s">
        <v>29</v>
      </c>
      <c r="P32" s="30">
        <v>51.440746499404334</v>
      </c>
      <c r="Q32" s="33">
        <v>1.3863099999999999</v>
      </c>
      <c r="R32" s="32">
        <v>60.836400000000005</v>
      </c>
      <c r="S32" s="33">
        <v>1.1489900000000002</v>
      </c>
      <c r="T32" s="24"/>
      <c r="U32" s="32">
        <f t="shared" si="0"/>
        <v>9.3956535005956709</v>
      </c>
      <c r="V32" s="25">
        <f t="shared" si="1"/>
        <v>1.8005647547922292</v>
      </c>
      <c r="W32" s="25">
        <f t="shared" si="2"/>
        <v>5.2181702855112562</v>
      </c>
      <c r="X32" s="25">
        <f>IF(W32&gt;0,(1-NORMSDIST(W32)),(NORMSDIST(W32)))</f>
        <v>9.0349649095600171E-8</v>
      </c>
      <c r="Y32" s="26" t="str">
        <f>IF(X32&lt;0.025,"Significativa","No significativa")</f>
        <v>Significativa</v>
      </c>
    </row>
    <row r="33" spans="1:2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64</v>
      </c>
      <c r="P34" s="4"/>
      <c r="Q34" s="4"/>
      <c r="R34" s="4"/>
      <c r="S34" s="4"/>
      <c r="T34" s="4"/>
      <c r="U34" s="4"/>
      <c r="V34" s="4"/>
      <c r="W34" s="4"/>
      <c r="X34" s="4"/>
      <c r="Y34" s="28"/>
    </row>
  </sheetData>
  <mergeCells count="18">
    <mergeCell ref="O9:Y9"/>
    <mergeCell ref="O10:Y10"/>
    <mergeCell ref="O11:O12"/>
    <mergeCell ref="P11:Q11"/>
    <mergeCell ref="R11:S11"/>
    <mergeCell ref="W11:W12"/>
    <mergeCell ref="X11:X12"/>
    <mergeCell ref="Y11:Y12"/>
    <mergeCell ref="U12:V12"/>
    <mergeCell ref="K11:K12"/>
    <mergeCell ref="L11:L12"/>
    <mergeCell ref="M11:M12"/>
    <mergeCell ref="I12:J12"/>
    <mergeCell ref="C11:C12"/>
    <mergeCell ref="C9:M9"/>
    <mergeCell ref="C10:M10"/>
    <mergeCell ref="D11:E11"/>
    <mergeCell ref="F11:G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A037-3521-448B-B6EB-75CCF269823C}">
  <dimension ref="A4:Y53"/>
  <sheetViews>
    <sheetView zoomScaleNormal="100" workbookViewId="0">
      <selection activeCell="L2" sqref="L2"/>
    </sheetView>
  </sheetViews>
  <sheetFormatPr baseColWidth="10" defaultColWidth="11.42578125" defaultRowHeight="15" x14ac:dyDescent="0.25"/>
  <cols>
    <col min="1" max="1" width="1.7109375" style="1" customWidth="1"/>
    <col min="2" max="2" width="1.28515625" style="1" customWidth="1"/>
    <col min="3" max="3" width="64.7109375" style="1" customWidth="1"/>
    <col min="4" max="7" width="10.7109375" style="1" customWidth="1"/>
    <col min="8" max="8" width="1.7109375" style="1" customWidth="1"/>
    <col min="9" max="9" width="9.85546875" style="1" bestFit="1" customWidth="1"/>
    <col min="10" max="10" width="11.2851562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9.85546875" style="1" bestFit="1" customWidth="1"/>
    <col min="22" max="22" width="11.2851562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66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65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6.7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39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55.472533115416681</v>
      </c>
      <c r="E14" s="36">
        <v>2.2835000000000001</v>
      </c>
      <c r="F14" s="14">
        <v>45.561700000000002</v>
      </c>
      <c r="G14" s="36">
        <v>1.70767</v>
      </c>
      <c r="H14" s="4"/>
      <c r="I14" s="14">
        <f>F14-D14</f>
        <v>-9.9108331154166791</v>
      </c>
      <c r="J14" s="15">
        <f>SQRT(G14*G14+E14*E14)</f>
        <v>2.8514047553618203</v>
      </c>
      <c r="K14" s="15">
        <f>I14/J14</f>
        <v>-3.4757721073376953</v>
      </c>
      <c r="L14" s="15">
        <f>IF(K14&gt;0,(1-NORMSDIST(K14)),(NORMSDIST(K14)))</f>
        <v>2.5469247184453756E-4</v>
      </c>
      <c r="M14" s="16" t="str">
        <f>IF(L14&lt;0.025,"Significativa","No significativa")</f>
        <v>Significativa</v>
      </c>
      <c r="O14" s="13" t="s">
        <v>11</v>
      </c>
      <c r="P14" s="14">
        <v>46.044519999999999</v>
      </c>
      <c r="Q14" s="36">
        <v>2.05715</v>
      </c>
      <c r="R14" s="14">
        <v>45.561700000000002</v>
      </c>
      <c r="S14" s="36">
        <v>1.70767</v>
      </c>
      <c r="T14" s="4"/>
      <c r="U14" s="14">
        <f>R14-P14</f>
        <v>-0.4828199999999967</v>
      </c>
      <c r="V14" s="15">
        <f>SQRT(S14*S14+Q14*Q14)</f>
        <v>2.6735749384298173</v>
      </c>
      <c r="W14" s="15">
        <f>U14/V14</f>
        <v>-0.18058966407111651</v>
      </c>
      <c r="X14" s="15">
        <f>IF(W14&gt;0,(1-NORMSDIST(W14)),(NORMSDIST(W14)))</f>
        <v>0.4283448346833178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46">
        <v>40.083550053650931</v>
      </c>
      <c r="E15" s="36">
        <v>1.7207400000000002</v>
      </c>
      <c r="F15" s="14">
        <v>37.153999999999996</v>
      </c>
      <c r="G15" s="36">
        <v>1.24339</v>
      </c>
      <c r="H15" s="4"/>
      <c r="I15" s="14">
        <f>F15-D15</f>
        <v>-2.9295500536509351</v>
      </c>
      <c r="J15" s="15">
        <f>SQRT(G15*G15+E15*E15)</f>
        <v>2.1229613373069234</v>
      </c>
      <c r="K15" s="15">
        <f>I15/J15</f>
        <v>-1.3799356597643966</v>
      </c>
      <c r="L15" s="15">
        <f>IF(K15&gt;0,(1-NORMSDIST(K15)),(NORMSDIST(K15)))</f>
        <v>8.3803227923794674E-2</v>
      </c>
      <c r="M15" s="16" t="str">
        <f>IF(L15&lt;0.025,"Significativa","No significativa")</f>
        <v>No significativa</v>
      </c>
      <c r="O15" s="13" t="s">
        <v>12</v>
      </c>
      <c r="P15" s="14">
        <v>39.988370000000003</v>
      </c>
      <c r="Q15" s="36">
        <v>1.80379</v>
      </c>
      <c r="R15" s="14">
        <v>37.153999999999996</v>
      </c>
      <c r="S15" s="36">
        <v>1.24339</v>
      </c>
      <c r="T15" s="4"/>
      <c r="U15" s="14">
        <f t="shared" ref="U15:U32" si="0">R15-P15</f>
        <v>-2.8343700000000069</v>
      </c>
      <c r="V15" s="15">
        <f t="shared" ref="V15:V32" si="1">SQRT(S15*S15+Q15*Q15)</f>
        <v>2.1908165272792699</v>
      </c>
      <c r="W15" s="15">
        <f t="shared" ref="W15:W32" si="2">U15/V15</f>
        <v>-1.2937505102355389</v>
      </c>
      <c r="X15" s="15">
        <f>IF(W15&gt;0,(1-NORMSDIST(W15)),(NORMSDIST(W15)))</f>
        <v>9.7875806084401912E-2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46">
        <v>15.388983061765751</v>
      </c>
      <c r="E16" s="36">
        <v>1.3789400000000001</v>
      </c>
      <c r="F16" s="14">
        <v>8.4077000000000002</v>
      </c>
      <c r="G16" s="36">
        <v>1.0905800000000001</v>
      </c>
      <c r="H16" s="4"/>
      <c r="I16" s="14">
        <f>F16-D16</f>
        <v>-6.9812830617657511</v>
      </c>
      <c r="J16" s="15">
        <f>SQRT(G16*G16+E16*E16)</f>
        <v>1.7580785704854036</v>
      </c>
      <c r="K16" s="15">
        <f>I16/J16</f>
        <v>-3.9709732994687639</v>
      </c>
      <c r="L16" s="15">
        <f>IF(K16&gt;0,(1-NORMSDIST(K16)),(NORMSDIST(K16)))</f>
        <v>3.5789801018302949E-5</v>
      </c>
      <c r="M16" s="16" t="str">
        <f>IF(L16&lt;0.025,"Significativa","No significativa")</f>
        <v>Significativa</v>
      </c>
      <c r="O16" s="13" t="s">
        <v>13</v>
      </c>
      <c r="P16" s="14">
        <v>6.0561499999999997</v>
      </c>
      <c r="Q16" s="36">
        <v>0.89382000000000006</v>
      </c>
      <c r="R16" s="14">
        <v>8.4077000000000002</v>
      </c>
      <c r="S16" s="36">
        <v>1.0905800000000001</v>
      </c>
      <c r="T16" s="4"/>
      <c r="U16" s="14">
        <f t="shared" si="0"/>
        <v>2.3515500000000005</v>
      </c>
      <c r="V16" s="15">
        <f t="shared" si="1"/>
        <v>1.4100634485015204</v>
      </c>
      <c r="W16" s="15">
        <f t="shared" si="2"/>
        <v>1.6676909131280591</v>
      </c>
      <c r="X16" s="15">
        <f>IF(W16&gt;0,(1-NORMSDIST(W16)),(NORMSDIST(W16)))</f>
        <v>4.7688550100042137E-2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46">
        <v>31.406869159824563</v>
      </c>
      <c r="E17" s="36">
        <v>1.9847600000000001</v>
      </c>
      <c r="F17" s="14">
        <v>34.963699999999996</v>
      </c>
      <c r="G17" s="36">
        <v>1.47502</v>
      </c>
      <c r="H17" s="4"/>
      <c r="I17" s="14">
        <f>F17-D17</f>
        <v>3.5568308401754329</v>
      </c>
      <c r="J17" s="15">
        <f>SQRT(G17*G17+E17*E17)</f>
        <v>2.4728437593184087</v>
      </c>
      <c r="K17" s="15">
        <f>I17/J17</f>
        <v>1.4383564779506346</v>
      </c>
      <c r="L17" s="15">
        <f>IF(K17&gt;0,(1-NORMSDIST(K17)),(NORMSDIST(K17)))</f>
        <v>7.5166467335390452E-2</v>
      </c>
      <c r="M17" s="16" t="str">
        <f>IF(L17&lt;0.025,"Significativa","No significativa")</f>
        <v>No significativa</v>
      </c>
      <c r="O17" s="13" t="s">
        <v>14</v>
      </c>
      <c r="P17" s="14">
        <v>34.809100000000001</v>
      </c>
      <c r="Q17" s="36">
        <v>1.7946199999999999</v>
      </c>
      <c r="R17" s="14">
        <v>34.963699999999996</v>
      </c>
      <c r="S17" s="36">
        <v>1.47502</v>
      </c>
      <c r="T17" s="4"/>
      <c r="U17" s="14">
        <f t="shared" si="0"/>
        <v>0.15459999999999496</v>
      </c>
      <c r="V17" s="15">
        <f t="shared" si="1"/>
        <v>2.3230034319389197</v>
      </c>
      <c r="W17" s="15">
        <f t="shared" si="2"/>
        <v>6.6551774256724372E-2</v>
      </c>
      <c r="X17" s="15">
        <f>IF(W17&gt;0,(1-NORMSDIST(W17)),(NORMSDIST(W17)))</f>
        <v>0.47346926957126323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46">
        <v>2.5223530212928864</v>
      </c>
      <c r="E18" s="36">
        <v>0.43068000000000006</v>
      </c>
      <c r="F18" s="14">
        <v>4.8203100000000001</v>
      </c>
      <c r="G18" s="36">
        <v>0.52349000000000001</v>
      </c>
      <c r="H18" s="4"/>
      <c r="I18" s="14">
        <f>F18-D18</f>
        <v>2.2979569787071137</v>
      </c>
      <c r="J18" s="15">
        <f>SQRT(G18*G18+E18*E18)</f>
        <v>0.6778842397489413</v>
      </c>
      <c r="K18" s="15">
        <f>I18/J18</f>
        <v>3.3898958612139687</v>
      </c>
      <c r="L18" s="15">
        <f>IF(K18&gt;0,(1-NORMSDIST(K18)),(NORMSDIST(K18)))</f>
        <v>3.4959589490324294E-4</v>
      </c>
      <c r="M18" s="16" t="str">
        <f>IF(L18&lt;0.025,"Significativa","No significativa")</f>
        <v>Significativa</v>
      </c>
      <c r="O18" s="13" t="s">
        <v>15</v>
      </c>
      <c r="P18" s="14">
        <v>4.8698699999999997</v>
      </c>
      <c r="Q18" s="36">
        <v>0.50207000000000002</v>
      </c>
      <c r="R18" s="14">
        <v>4.8203100000000001</v>
      </c>
      <c r="S18" s="36">
        <v>0.52349000000000001</v>
      </c>
      <c r="T18" s="4"/>
      <c r="U18" s="14">
        <f t="shared" si="0"/>
        <v>-4.9559999999999604E-2</v>
      </c>
      <c r="V18" s="15">
        <f t="shared" si="1"/>
        <v>0.72533858645462956</v>
      </c>
      <c r="W18" s="15">
        <f t="shared" si="2"/>
        <v>-6.8326711036073656E-2</v>
      </c>
      <c r="X18" s="15">
        <f>IF(W18&gt;0,(1-NORMSDIST(W18)),(NORMSDIST(W18)))</f>
        <v>0.47276278073932632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10.598244703465868</v>
      </c>
      <c r="E19" s="36">
        <v>1.08317</v>
      </c>
      <c r="F19" s="14">
        <v>14.654300000000001</v>
      </c>
      <c r="G19" s="36">
        <v>1.17408</v>
      </c>
      <c r="H19" s="4"/>
      <c r="I19" s="14">
        <f>F19-D19</f>
        <v>4.056055296534133</v>
      </c>
      <c r="J19" s="15">
        <f>SQRT(G19*G19+E19*E19)</f>
        <v>1.5974107472093706</v>
      </c>
      <c r="K19" s="15">
        <f>I19/J19</f>
        <v>2.5391436132628642</v>
      </c>
      <c r="L19" s="15">
        <f>IF(K19&gt;0,(1-NORMSDIST(K19)),(NORMSDIST(K19)))</f>
        <v>5.5562098693074935E-3</v>
      </c>
      <c r="M19" s="16" t="str">
        <f>IF(L19&lt;0.025,"Significativa","No significativa")</f>
        <v>Significativa</v>
      </c>
      <c r="O19" s="13" t="s">
        <v>16</v>
      </c>
      <c r="P19" s="14">
        <v>14.27651</v>
      </c>
      <c r="Q19" s="36">
        <v>0.93890999999999991</v>
      </c>
      <c r="R19" s="14">
        <v>14.654300000000001</v>
      </c>
      <c r="S19" s="36">
        <v>1.17408</v>
      </c>
      <c r="T19" s="4"/>
      <c r="U19" s="14">
        <f t="shared" si="0"/>
        <v>0.37779000000000096</v>
      </c>
      <c r="V19" s="15">
        <f t="shared" si="1"/>
        <v>1.5033349043044266</v>
      </c>
      <c r="W19" s="15">
        <f t="shared" si="2"/>
        <v>0.25130128949862934</v>
      </c>
      <c r="X19" s="15">
        <f>IF(W19&gt;0,(1-NORMSDIST(W19)),(NORMSDIST(W19)))</f>
        <v>0.40079058913609089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D20" s="46"/>
      <c r="E20" s="36">
        <v>0</v>
      </c>
      <c r="F20" s="14"/>
      <c r="G20" s="36">
        <v>0</v>
      </c>
      <c r="H20" s="4"/>
      <c r="I20" s="14"/>
      <c r="J20" s="15"/>
      <c r="K20" s="15"/>
      <c r="L20" s="15"/>
      <c r="M20" s="16"/>
      <c r="O20" s="17" t="s">
        <v>17</v>
      </c>
      <c r="P20" s="14"/>
      <c r="Q20" s="36"/>
      <c r="R20" s="14"/>
      <c r="S20" s="36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86.879402275241247</v>
      </c>
      <c r="E21" s="36">
        <v>1.20526</v>
      </c>
      <c r="F21" s="14">
        <v>80.525400000000005</v>
      </c>
      <c r="G21" s="36">
        <v>1.2824900000000001</v>
      </c>
      <c r="H21" s="4"/>
      <c r="I21" s="14">
        <f>F21-D21</f>
        <v>-6.3540022752412426</v>
      </c>
      <c r="J21" s="15">
        <f>SQRT(G21*G21+E21*E21)</f>
        <v>1.7599523481333239</v>
      </c>
      <c r="K21" s="15">
        <f>I21/J21</f>
        <v>-3.6103263147894613</v>
      </c>
      <c r="L21" s="15">
        <f>IF(K21&gt;0,(1-NORMSDIST(K21)),(NORMSDIST(K21)))</f>
        <v>1.5290601332241621E-4</v>
      </c>
      <c r="M21" s="16" t="str">
        <f>IF(L21&lt;0.025,"Significativa","No significativa")</f>
        <v>Significativa</v>
      </c>
      <c r="O21" s="18" t="s">
        <v>18</v>
      </c>
      <c r="P21" s="14">
        <v>80.853620000000006</v>
      </c>
      <c r="Q21" s="36">
        <v>1.1566699999999999</v>
      </c>
      <c r="R21" s="14">
        <v>80.525400000000005</v>
      </c>
      <c r="S21" s="36">
        <v>1.2824900000000001</v>
      </c>
      <c r="T21" s="4"/>
      <c r="U21" s="14">
        <f t="shared" si="0"/>
        <v>-0.32822000000000173</v>
      </c>
      <c r="V21" s="15">
        <f t="shared" si="1"/>
        <v>1.7270396894686584</v>
      </c>
      <c r="W21" s="15">
        <f t="shared" si="2"/>
        <v>-0.19004774586331713</v>
      </c>
      <c r="X21" s="15">
        <f>IF(W21&gt;0,(1-NORMSDIST(W21)),(NORMSDIST(W21)))</f>
        <v>0.42463585823571731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47.145618568559996</v>
      </c>
      <c r="E22" s="36">
        <v>2.0482299999999998</v>
      </c>
      <c r="F22" s="14">
        <v>28.176400000000001</v>
      </c>
      <c r="G22" s="36">
        <v>1.52582</v>
      </c>
      <c r="H22" s="4"/>
      <c r="I22" s="14">
        <f>F22-D22</f>
        <v>-18.969218568559995</v>
      </c>
      <c r="J22" s="15">
        <f>SQRT(G22*G22+E22*E22)</f>
        <v>2.5540894278196289</v>
      </c>
      <c r="K22" s="15">
        <f>I22/J22</f>
        <v>-7.4269985858535925</v>
      </c>
      <c r="L22" s="15">
        <f>IF(K22&gt;0,(1-NORMSDIST(K22)),(NORMSDIST(K22)))</f>
        <v>5.554477385945807E-14</v>
      </c>
      <c r="M22" s="16" t="str">
        <f>IF(L22&lt;0.025,"Significativa","No significativa")</f>
        <v>Significativa</v>
      </c>
      <c r="O22" s="18" t="s">
        <v>19</v>
      </c>
      <c r="P22" s="14">
        <v>22.619489999999999</v>
      </c>
      <c r="Q22" s="36">
        <v>1.0475000000000001</v>
      </c>
      <c r="R22" s="14">
        <v>28.176400000000001</v>
      </c>
      <c r="S22" s="36">
        <v>1.52582</v>
      </c>
      <c r="T22" s="4"/>
      <c r="U22" s="14">
        <f t="shared" si="0"/>
        <v>5.556910000000002</v>
      </c>
      <c r="V22" s="15">
        <f t="shared" si="1"/>
        <v>1.8507790042033652</v>
      </c>
      <c r="W22" s="15">
        <f t="shared" si="2"/>
        <v>3.0024708446440771</v>
      </c>
      <c r="X22" s="15">
        <f>IF(W22&gt;0,(1-NORMSDIST(W22)),(NORMSDIST(W22)))</f>
        <v>1.338988118843254E-3</v>
      </c>
      <c r="Y22" s="16" t="str">
        <f>IF(X22&lt;0.025,"Significativa","No significativa")</f>
        <v>Significativa</v>
      </c>
    </row>
    <row r="23" spans="3:25" x14ac:dyDescent="0.25">
      <c r="C23" s="19" t="s">
        <v>20</v>
      </c>
      <c r="D23" s="46"/>
      <c r="E23" s="36">
        <v>0</v>
      </c>
      <c r="F23" s="14"/>
      <c r="G23" s="36">
        <v>0</v>
      </c>
      <c r="H23" s="4"/>
      <c r="I23" s="14"/>
      <c r="J23" s="15"/>
      <c r="K23" s="15"/>
      <c r="L23" s="15"/>
      <c r="M23" s="16"/>
      <c r="O23" s="19" t="s">
        <v>20</v>
      </c>
      <c r="P23" s="14"/>
      <c r="Q23" s="36"/>
      <c r="R23" s="14"/>
      <c r="S23" s="36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31.866652126619883</v>
      </c>
      <c r="E24" s="36">
        <v>1.29755</v>
      </c>
      <c r="F24" s="14">
        <v>25.758099999999999</v>
      </c>
      <c r="G24" s="36">
        <v>1.04114</v>
      </c>
      <c r="H24" s="4"/>
      <c r="I24" s="14">
        <f>F24-D24</f>
        <v>-6.1085521266198839</v>
      </c>
      <c r="J24" s="15">
        <f>SQRT(G24*G24+E24*E24)</f>
        <v>1.6636130866580727</v>
      </c>
      <c r="K24" s="15">
        <f>I24/J24</f>
        <v>-3.6718586644993088</v>
      </c>
      <c r="L24" s="15">
        <f>IF(K24&gt;0,(1-NORMSDIST(K24)),(NORMSDIST(K24)))</f>
        <v>1.2039642231816136E-4</v>
      </c>
      <c r="M24" s="16" t="str">
        <f>IF(L24&lt;0.025,"Significativa","No significativa")</f>
        <v>Significativa</v>
      </c>
      <c r="O24" s="20" t="s">
        <v>21</v>
      </c>
      <c r="P24" s="14">
        <v>24.15859</v>
      </c>
      <c r="Q24" s="36">
        <v>0.90396999999999994</v>
      </c>
      <c r="R24" s="14">
        <v>25.758099999999999</v>
      </c>
      <c r="S24" s="36">
        <v>1.04114</v>
      </c>
      <c r="T24" s="4"/>
      <c r="U24" s="14">
        <f t="shared" si="0"/>
        <v>1.5995099999999987</v>
      </c>
      <c r="V24" s="15">
        <f t="shared" si="1"/>
        <v>1.378816253349227</v>
      </c>
      <c r="W24" s="15">
        <f t="shared" si="2"/>
        <v>1.1600603025346512</v>
      </c>
      <c r="X24" s="15">
        <f>IF(W24&gt;0,(1-NORMSDIST(W24)),(NORMSDIST(W24)))</f>
        <v>0.1230121276099988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55.61719737837435</v>
      </c>
      <c r="E25" s="36">
        <v>2.05823</v>
      </c>
      <c r="F25" s="14">
        <v>38.656100000000002</v>
      </c>
      <c r="G25" s="36">
        <v>1.27488</v>
      </c>
      <c r="H25" s="4"/>
      <c r="I25" s="14">
        <f>F25-D25</f>
        <v>-16.961097378374347</v>
      </c>
      <c r="J25" s="15">
        <f>SQRT(G25*G25+E25*E25)</f>
        <v>2.421080285182629</v>
      </c>
      <c r="K25" s="15">
        <f>I25/J25</f>
        <v>-7.0055906374434516</v>
      </c>
      <c r="L25" s="15">
        <f>IF(K25&gt;0,(1-NORMSDIST(K25)),(NORMSDIST(K25)))</f>
        <v>1.2297302605860365E-12</v>
      </c>
      <c r="M25" s="16" t="str">
        <f>IF(L25&lt;0.025,"Significativa","No significativa")</f>
        <v>Significativa</v>
      </c>
      <c r="O25" s="18" t="s">
        <v>22</v>
      </c>
      <c r="P25" s="14">
        <v>21.194399999999998</v>
      </c>
      <c r="Q25" s="36">
        <v>1.0538399999999999</v>
      </c>
      <c r="R25" s="14">
        <v>38.656100000000002</v>
      </c>
      <c r="S25" s="36">
        <v>1.27488</v>
      </c>
      <c r="T25" s="4"/>
      <c r="U25" s="14">
        <f t="shared" si="0"/>
        <v>17.461700000000004</v>
      </c>
      <c r="V25" s="15">
        <f t="shared" si="1"/>
        <v>1.654054944673846</v>
      </c>
      <c r="W25" s="15">
        <f t="shared" si="2"/>
        <v>10.556904446389586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77.367819011387255</v>
      </c>
      <c r="E26" s="36">
        <v>1.5746599999999999</v>
      </c>
      <c r="F26" s="14">
        <v>66.945300000000003</v>
      </c>
      <c r="G26" s="36">
        <v>1.6604899999999998</v>
      </c>
      <c r="H26" s="4"/>
      <c r="I26" s="14">
        <f>F26-D26</f>
        <v>-10.422519011387251</v>
      </c>
      <c r="J26" s="15">
        <f>SQRT(G26*G26+E26*E26)</f>
        <v>2.2884014411156097</v>
      </c>
      <c r="K26" s="15">
        <f>I26/J26</f>
        <v>-4.5544976611735608</v>
      </c>
      <c r="L26" s="15">
        <f>IF(K26&gt;0,(1-NORMSDIST(K26)),(NORMSDIST(K26)))</f>
        <v>2.6255454500932418E-6</v>
      </c>
      <c r="M26" s="16" t="str">
        <f>IF(L26&lt;0.025,"Significativa","No significativa")</f>
        <v>Significativa</v>
      </c>
      <c r="O26" s="18" t="s">
        <v>23</v>
      </c>
      <c r="P26" s="14">
        <v>69.477270000000004</v>
      </c>
      <c r="Q26" s="36">
        <v>1.41123</v>
      </c>
      <c r="R26" s="14">
        <v>66.945300000000003</v>
      </c>
      <c r="S26" s="36">
        <v>1.6604899999999998</v>
      </c>
      <c r="T26" s="4"/>
      <c r="U26" s="14">
        <f t="shared" si="0"/>
        <v>-2.5319700000000012</v>
      </c>
      <c r="V26" s="15">
        <f t="shared" si="1"/>
        <v>2.1791735022709871</v>
      </c>
      <c r="W26" s="15">
        <f t="shared" si="2"/>
        <v>-1.1618946345306391</v>
      </c>
      <c r="X26" s="15">
        <f>IF(W26&gt;0,(1-NORMSDIST(W26)),(NORMSDIST(W26)))</f>
        <v>0.12263913342352026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22.504173361529979</v>
      </c>
      <c r="E27" s="36">
        <v>2.03539</v>
      </c>
      <c r="F27" s="14">
        <v>11.607799999999999</v>
      </c>
      <c r="G27" s="36">
        <v>1.3934500000000001</v>
      </c>
      <c r="H27" s="4"/>
      <c r="I27" s="14">
        <f>F27-D27</f>
        <v>-10.89637336152998</v>
      </c>
      <c r="J27" s="15">
        <f>SQRT(G27*G27+E27*E27)</f>
        <v>2.4666810403049682</v>
      </c>
      <c r="K27" s="15">
        <f>I27/J27</f>
        <v>-4.4174229190908312</v>
      </c>
      <c r="L27" s="15">
        <f>IF(K27&gt;0,(1-NORMSDIST(K27)),(NORMSDIST(K27)))</f>
        <v>4.9942336650034847E-6</v>
      </c>
      <c r="M27" s="16" t="str">
        <f>IF(L27&lt;0.025,"Significativa","No significativa")</f>
        <v>Significativa</v>
      </c>
      <c r="O27" s="18" t="s">
        <v>24</v>
      </c>
      <c r="P27" s="14">
        <v>12.686059999999999</v>
      </c>
      <c r="Q27" s="36">
        <v>1.41161</v>
      </c>
      <c r="R27" s="14">
        <v>11.607799999999999</v>
      </c>
      <c r="S27" s="36">
        <v>1.3934500000000001</v>
      </c>
      <c r="T27" s="4"/>
      <c r="U27" s="14">
        <f t="shared" si="0"/>
        <v>-1.0782600000000002</v>
      </c>
      <c r="V27" s="15">
        <f t="shared" si="1"/>
        <v>1.9835185138031861</v>
      </c>
      <c r="W27" s="15">
        <f t="shared" si="2"/>
        <v>-0.54360974828137665</v>
      </c>
      <c r="X27" s="15">
        <f>IF(W27&gt;0,(1-NORMSDIST(W27)),(NORMSDIST(W27)))</f>
        <v>0.29335502506947919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26.878495822957444</v>
      </c>
      <c r="E28" s="36">
        <v>2.3224999999999998</v>
      </c>
      <c r="F28" s="14">
        <v>16.916999999999998</v>
      </c>
      <c r="G28" s="36">
        <v>1.6231700000000002</v>
      </c>
      <c r="H28" s="4"/>
      <c r="I28" s="14">
        <f>F28-D28</f>
        <v>-9.9614958229574455</v>
      </c>
      <c r="J28" s="15">
        <f>SQRT(G28*G28+E28*E28)</f>
        <v>2.8334937972227858</v>
      </c>
      <c r="K28" s="15">
        <f>I28/J28</f>
        <v>-3.5156229502676459</v>
      </c>
      <c r="L28" s="15">
        <f>IF(K28&gt;0,(1-NORMSDIST(K28)),(NORMSDIST(K28)))</f>
        <v>2.1936178328496952E-4</v>
      </c>
      <c r="M28" s="16" t="str">
        <f>IF(L28&lt;0.025,"Significativa","No significativa")</f>
        <v>Significativa</v>
      </c>
      <c r="O28" s="18" t="s">
        <v>25</v>
      </c>
      <c r="P28" s="14">
        <v>17.670859999999998</v>
      </c>
      <c r="Q28" s="36">
        <v>1.36798</v>
      </c>
      <c r="R28" s="14">
        <v>16.916999999999998</v>
      </c>
      <c r="S28" s="36">
        <v>1.6231700000000002</v>
      </c>
      <c r="T28" s="4"/>
      <c r="U28" s="14">
        <f t="shared" si="0"/>
        <v>-0.75385999999999953</v>
      </c>
      <c r="V28" s="15">
        <f t="shared" si="1"/>
        <v>2.1227458937187937</v>
      </c>
      <c r="W28" s="15">
        <f t="shared" si="2"/>
        <v>-0.35513435792323128</v>
      </c>
      <c r="X28" s="15">
        <f>IF(W28&gt;0,(1-NORMSDIST(W28)),(NORMSDIST(W28)))</f>
        <v>0.3612444690838077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31.830831156927598</v>
      </c>
      <c r="E29" s="36">
        <v>1.8500300000000001</v>
      </c>
      <c r="F29" s="14">
        <v>21.448700000000002</v>
      </c>
      <c r="G29" s="36">
        <v>1.3363399999999999</v>
      </c>
      <c r="H29" s="4"/>
      <c r="I29" s="14">
        <f>F29-D29</f>
        <v>-10.382131156927596</v>
      </c>
      <c r="J29" s="15">
        <f>SQRT(G29*G29+E29*E29)</f>
        <v>2.2821953458238409</v>
      </c>
      <c r="K29" s="15">
        <f>I29/J29</f>
        <v>-4.5491860177200518</v>
      </c>
      <c r="L29" s="15">
        <f>IF(K29&gt;0,(1-NORMSDIST(K29)),(NORMSDIST(K29)))</f>
        <v>2.6926911194758501E-6</v>
      </c>
      <c r="M29" s="16" t="str">
        <f>IF(L29&lt;0.025,"Significativa","No significativa")</f>
        <v>Significativa</v>
      </c>
      <c r="O29" s="18" t="s">
        <v>26</v>
      </c>
      <c r="P29" s="14">
        <v>21.058430000000001</v>
      </c>
      <c r="Q29" s="36">
        <v>1.3152699999999999</v>
      </c>
      <c r="R29" s="14">
        <v>21.448700000000002</v>
      </c>
      <c r="S29" s="36">
        <v>1.3363399999999999</v>
      </c>
      <c r="T29" s="4"/>
      <c r="U29" s="14">
        <f t="shared" si="0"/>
        <v>0.390270000000001</v>
      </c>
      <c r="V29" s="15">
        <f t="shared" si="1"/>
        <v>1.8750306046835608</v>
      </c>
      <c r="W29" s="15">
        <f t="shared" si="2"/>
        <v>0.20814060262545148</v>
      </c>
      <c r="X29" s="15">
        <f>IF(W29&gt;0,(1-NORMSDIST(W29)),(NORMSDIST(W29)))</f>
        <v>0.41755959250699215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E30" s="36">
        <v>0</v>
      </c>
      <c r="F30" s="14"/>
      <c r="G30" s="36">
        <v>0</v>
      </c>
      <c r="H30" s="4"/>
      <c r="I30" s="14"/>
      <c r="J30" s="15"/>
      <c r="K30" s="15"/>
      <c r="L30" s="15"/>
      <c r="M30" s="16"/>
      <c r="O30" s="8" t="s">
        <v>27</v>
      </c>
      <c r="P30" s="14"/>
      <c r="Q30" s="36"/>
      <c r="R30" s="14"/>
      <c r="S30" s="36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22.186086831686996</v>
      </c>
      <c r="E31" s="36">
        <v>1.7653800000000002</v>
      </c>
      <c r="F31" s="14">
        <v>17.542999999999999</v>
      </c>
      <c r="G31" s="36">
        <v>1.54277</v>
      </c>
      <c r="H31" s="22"/>
      <c r="I31" s="14">
        <f>F31-D31</f>
        <v>-4.6430868316869969</v>
      </c>
      <c r="J31" s="15">
        <f>SQRT(((G31^2)+(E31^2)))</f>
        <v>2.3445054526061568</v>
      </c>
      <c r="K31" s="15">
        <f>(F31-D31)/SQRT(((G31^2)+(E31^2)))</f>
        <v>-1.9804120423459592</v>
      </c>
      <c r="L31" s="15">
        <f>IF(K31&gt;0,(1-NORMSDIST(K31)),(NORMSDIST(K31)))</f>
        <v>2.3828623949326794E-2</v>
      </c>
      <c r="M31" s="16" t="str">
        <f>IF(L31&lt;0.025,"Significativa","No significativa")</f>
        <v>Significativa</v>
      </c>
      <c r="O31" s="21" t="s">
        <v>28</v>
      </c>
      <c r="P31" s="14">
        <v>15.559419999999999</v>
      </c>
      <c r="Q31" s="36">
        <v>1.50908</v>
      </c>
      <c r="R31" s="14">
        <v>17.542999999999999</v>
      </c>
      <c r="S31" s="36">
        <v>1.54277</v>
      </c>
      <c r="T31" s="22"/>
      <c r="U31" s="14">
        <f t="shared" si="0"/>
        <v>1.9835799999999999</v>
      </c>
      <c r="V31" s="15">
        <f t="shared" si="1"/>
        <v>2.158115316497244</v>
      </c>
      <c r="W31" s="15">
        <f t="shared" si="2"/>
        <v>0.91912604708235623</v>
      </c>
      <c r="X31" s="15">
        <f>IF(W31&gt;0,(1-NORMSDIST(W31)),(NORMSDIST(W31)))</f>
        <v>0.17901482333687391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57.994886136709567</v>
      </c>
      <c r="E32" s="33">
        <v>2.2921800000000001</v>
      </c>
      <c r="F32" s="32">
        <v>50.382000000000005</v>
      </c>
      <c r="G32" s="33">
        <v>1.7012699999999998</v>
      </c>
      <c r="H32" s="24"/>
      <c r="I32" s="32">
        <f>F32-D32</f>
        <v>-7.6128861367095624</v>
      </c>
      <c r="J32" s="25">
        <f>SQRT(((G32^2)+(E32^2)))</f>
        <v>2.8545417785171758</v>
      </c>
      <c r="K32" s="25">
        <f>(F32-D32)/SQRT(((G32^2)+(E32^2)))</f>
        <v>-2.6669380683102708</v>
      </c>
      <c r="L32" s="25">
        <f>IF(K32&gt;0,(1-NORMSDIST(K32)),(NORMSDIST(K32)))</f>
        <v>3.8272887972407091E-3</v>
      </c>
      <c r="M32" s="26" t="str">
        <f>IF(L32&lt;0.025,"Significativa","No significativa")</f>
        <v>Significativa</v>
      </c>
      <c r="O32" s="23" t="s">
        <v>29</v>
      </c>
      <c r="P32" s="32">
        <v>50.914389999999997</v>
      </c>
      <c r="Q32" s="33">
        <v>1.9912300000000001</v>
      </c>
      <c r="R32" s="32">
        <v>50.382000000000005</v>
      </c>
      <c r="S32" s="33">
        <v>1.7012699999999998</v>
      </c>
      <c r="T32" s="24"/>
      <c r="U32" s="32">
        <f t="shared" si="0"/>
        <v>-0.53238999999999237</v>
      </c>
      <c r="V32" s="25">
        <f t="shared" si="1"/>
        <v>2.6190296916606348</v>
      </c>
      <c r="W32" s="25">
        <f t="shared" si="2"/>
        <v>-0.20327757325363599</v>
      </c>
      <c r="X32" s="25">
        <f>IF(W32&gt;0,(1-NORMSDIST(W32)),(NORMSDIST(W32)))</f>
        <v>0.41945904176499366</v>
      </c>
      <c r="Y32" s="26" t="str">
        <f>IF(X32&lt;0.025,"Significativa","No significativa")</f>
        <v>No significativa</v>
      </c>
    </row>
    <row r="33" spans="1:2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  <c r="P33" s="4"/>
      <c r="Q33" s="4"/>
      <c r="R33" s="4"/>
      <c r="S33" s="4"/>
      <c r="T33" s="4"/>
      <c r="U33" s="4"/>
      <c r="V33" s="4"/>
      <c r="W33" s="4"/>
      <c r="X33" s="4"/>
      <c r="Y33" s="28"/>
    </row>
    <row r="34" spans="1:2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64</v>
      </c>
      <c r="P34" s="4"/>
      <c r="Q34" s="4"/>
      <c r="R34" s="4"/>
      <c r="S34" s="4"/>
      <c r="T34" s="4"/>
      <c r="U34" s="4"/>
      <c r="V34" s="4"/>
      <c r="W34" s="4"/>
      <c r="X34" s="4"/>
      <c r="Y34" s="28"/>
    </row>
    <row r="35" spans="1:25" x14ac:dyDescent="0.25">
      <c r="E35" s="4"/>
    </row>
    <row r="36" spans="1:25" x14ac:dyDescent="0.25">
      <c r="E36" s="4"/>
    </row>
    <row r="37" spans="1:25" x14ac:dyDescent="0.25">
      <c r="E37" s="4"/>
    </row>
    <row r="38" spans="1:25" x14ac:dyDescent="0.25">
      <c r="E38" s="4"/>
    </row>
    <row r="39" spans="1:25" x14ac:dyDescent="0.25">
      <c r="E39" s="4"/>
    </row>
    <row r="40" spans="1:25" x14ac:dyDescent="0.25">
      <c r="E40" s="4"/>
    </row>
    <row r="41" spans="1:25" x14ac:dyDescent="0.25">
      <c r="E41" s="4"/>
    </row>
    <row r="42" spans="1:25" x14ac:dyDescent="0.25">
      <c r="E42" s="4"/>
    </row>
    <row r="43" spans="1:25" x14ac:dyDescent="0.25">
      <c r="E43" s="4"/>
    </row>
    <row r="44" spans="1:25" x14ac:dyDescent="0.25">
      <c r="E44" s="4"/>
    </row>
    <row r="45" spans="1:25" x14ac:dyDescent="0.25">
      <c r="E45" s="4"/>
    </row>
    <row r="46" spans="1:25" x14ac:dyDescent="0.25">
      <c r="E46" s="4"/>
    </row>
    <row r="47" spans="1:25" x14ac:dyDescent="0.25">
      <c r="E47" s="4"/>
    </row>
    <row r="48" spans="1:2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</sheetData>
  <mergeCells count="18">
    <mergeCell ref="O9:Y9"/>
    <mergeCell ref="O10:Y10"/>
    <mergeCell ref="O11:O12"/>
    <mergeCell ref="P11:Q11"/>
    <mergeCell ref="R11:S11"/>
    <mergeCell ref="W11:W12"/>
    <mergeCell ref="X11:X12"/>
    <mergeCell ref="Y11:Y12"/>
    <mergeCell ref="U12:V12"/>
    <mergeCell ref="C9:M9"/>
    <mergeCell ref="C10:M10"/>
    <mergeCell ref="K11:K12"/>
    <mergeCell ref="L11:L12"/>
    <mergeCell ref="M11:M12"/>
    <mergeCell ref="I12:J12"/>
    <mergeCell ref="C11:C12"/>
    <mergeCell ref="D11:E11"/>
    <mergeCell ref="F11:G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6AE0-78F5-4674-B688-4BD95DA128F7}">
  <dimension ref="A9:W34"/>
  <sheetViews>
    <sheetView zoomScaleNormal="100" workbookViewId="0">
      <selection activeCell="B3" sqref="B3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customHeight="1" x14ac:dyDescent="0.25">
      <c r="A9" s="54" t="s">
        <v>32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47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ht="15" customHeight="1" x14ac:dyDescent="0.25">
      <c r="A14" s="13" t="s">
        <v>11</v>
      </c>
      <c r="B14" s="14">
        <v>48.82638</v>
      </c>
      <c r="C14" s="14">
        <v>1.6358999999999999</v>
      </c>
      <c r="D14" s="14">
        <v>52.632849999999998</v>
      </c>
      <c r="E14" s="14">
        <v>1.3637900000000001</v>
      </c>
      <c r="F14" s="4"/>
      <c r="G14" s="14">
        <f t="shared" ref="G14:G19" si="0">D14-B14</f>
        <v>3.8064699999999974</v>
      </c>
      <c r="H14" s="15">
        <f t="shared" ref="H14:H19" si="1">SQRT(E14*E14+C14*C14)</f>
        <v>2.1298103141125031</v>
      </c>
      <c r="I14" s="15">
        <f t="shared" ref="I14:I19" si="2">G14/H14</f>
        <v>1.7872342784602215</v>
      </c>
      <c r="J14" s="15">
        <f t="shared" ref="J14:J19" si="3">IF(I14&gt;0,(1-NORMSDIST(I14)),(NORMSDIST(I14)))</f>
        <v>3.6949815608542713E-2</v>
      </c>
      <c r="K14" s="16" t="str">
        <f t="shared" ref="K14:K19" si="4">IF(J14&lt;0.025,"Significativa","No significativa")</f>
        <v>No significativa</v>
      </c>
      <c r="M14" s="13" t="s">
        <v>11</v>
      </c>
      <c r="N14" s="14">
        <v>50.815570000000001</v>
      </c>
      <c r="O14" s="14">
        <v>1.51816</v>
      </c>
      <c r="P14" s="14">
        <v>52.632849999999998</v>
      </c>
      <c r="Q14" s="14">
        <v>1.3637900000000001</v>
      </c>
      <c r="R14" s="4"/>
      <c r="S14" s="14">
        <f>P14-N14</f>
        <v>1.8172799999999967</v>
      </c>
      <c r="T14" s="15">
        <f>SQRT(Q14*Q14+O14*O14)</f>
        <v>2.0407677353633362</v>
      </c>
      <c r="U14" s="15">
        <f>S14/T14</f>
        <v>0.89048840223674453</v>
      </c>
      <c r="V14" s="15">
        <f>IF(U14&gt;0,(1-NORMSDIST(U14)),(NORMSDIST(U14)))</f>
        <v>0.18660184657326995</v>
      </c>
      <c r="W14" s="16" t="str">
        <f>IF(V14&lt;0.025,"Significativa","No significativa")</f>
        <v>No significativa</v>
      </c>
    </row>
    <row r="15" spans="1:23" ht="15" customHeight="1" x14ac:dyDescent="0.25">
      <c r="A15" s="13" t="s">
        <v>12</v>
      </c>
      <c r="B15" s="14">
        <v>40.109960000000001</v>
      </c>
      <c r="C15" s="14">
        <v>1.4583499999999998</v>
      </c>
      <c r="D15" s="14">
        <v>43.049439999999997</v>
      </c>
      <c r="E15" s="14">
        <v>1.12707</v>
      </c>
      <c r="F15" s="4"/>
      <c r="G15" s="14">
        <f t="shared" si="0"/>
        <v>2.9394799999999961</v>
      </c>
      <c r="H15" s="15">
        <f t="shared" si="1"/>
        <v>1.8431146213407346</v>
      </c>
      <c r="I15" s="15">
        <f t="shared" si="2"/>
        <v>1.5948438398593647</v>
      </c>
      <c r="J15" s="15">
        <f t="shared" si="3"/>
        <v>5.5373580389062704E-2</v>
      </c>
      <c r="K15" s="16" t="str">
        <f t="shared" si="4"/>
        <v>No significativa</v>
      </c>
      <c r="M15" s="13" t="s">
        <v>12</v>
      </c>
      <c r="N15" s="14">
        <v>43.445250000000001</v>
      </c>
      <c r="O15" s="14">
        <v>1.3139000000000001</v>
      </c>
      <c r="P15" s="14">
        <v>43.049439999999997</v>
      </c>
      <c r="Q15" s="14">
        <v>1.12707</v>
      </c>
      <c r="R15" s="4"/>
      <c r="S15" s="14">
        <f t="shared" ref="S15:S19" si="5">P15-N15</f>
        <v>-0.39581000000000444</v>
      </c>
      <c r="T15" s="15">
        <f t="shared" ref="T15:T19" si="6">SQRT(Q15*Q15+O15*O15)</f>
        <v>1.731074809157594</v>
      </c>
      <c r="U15" s="15">
        <f t="shared" ref="U15:U19" si="7">S15/T15</f>
        <v>-0.22864985262688933</v>
      </c>
      <c r="V15" s="15">
        <f t="shared" ref="V15:V19" si="8">IF(U15&gt;0,(1-NORMSDIST(U15)),(NORMSDIST(U15)))</f>
        <v>0.40957053700437263</v>
      </c>
      <c r="W15" s="16" t="str">
        <f t="shared" ref="W15:W19" si="9">IF(V15&lt;0.025,"Significativa","No significativa")</f>
        <v>No significativa</v>
      </c>
    </row>
    <row r="16" spans="1:23" ht="15" customHeight="1" x14ac:dyDescent="0.25">
      <c r="A16" s="13" t="s">
        <v>13</v>
      </c>
      <c r="B16" s="31">
        <v>8.7164099999999998</v>
      </c>
      <c r="C16" s="14">
        <v>0.91748999999999992</v>
      </c>
      <c r="D16" s="14">
        <v>9.5834100000000007</v>
      </c>
      <c r="E16" s="14">
        <v>0.7817599999999999</v>
      </c>
      <c r="F16" s="4"/>
      <c r="G16" s="14">
        <f t="shared" si="0"/>
        <v>0.86700000000000088</v>
      </c>
      <c r="H16" s="15">
        <f t="shared" si="1"/>
        <v>1.2053781969572868</v>
      </c>
      <c r="I16" s="15">
        <f t="shared" si="2"/>
        <v>0.71927632521357399</v>
      </c>
      <c r="J16" s="15">
        <f t="shared" si="3"/>
        <v>0.23598534000544114</v>
      </c>
      <c r="K16" s="16" t="str">
        <f t="shared" si="4"/>
        <v>No significativa</v>
      </c>
      <c r="M16" s="13" t="s">
        <v>13</v>
      </c>
      <c r="N16" s="31">
        <v>7.3703199999999995</v>
      </c>
      <c r="O16" s="14">
        <v>0.77888000000000002</v>
      </c>
      <c r="P16" s="14">
        <v>9.5834100000000007</v>
      </c>
      <c r="Q16" s="14">
        <v>0.7817599999999999</v>
      </c>
      <c r="R16" s="4"/>
      <c r="S16" s="14">
        <f t="shared" si="5"/>
        <v>2.2130900000000011</v>
      </c>
      <c r="T16" s="15">
        <f t="shared" si="6"/>
        <v>1.1035410060346647</v>
      </c>
      <c r="U16" s="15">
        <f t="shared" si="7"/>
        <v>2.0054442815426134</v>
      </c>
      <c r="V16" s="15">
        <f t="shared" si="8"/>
        <v>2.2457785876564107E-2</v>
      </c>
      <c r="W16" s="16" t="str">
        <f t="shared" si="9"/>
        <v>Significativa</v>
      </c>
    </row>
    <row r="17" spans="1:23" ht="15" customHeight="1" x14ac:dyDescent="0.25">
      <c r="A17" s="13" t="s">
        <v>14</v>
      </c>
      <c r="B17" s="14">
        <v>34.127269999999996</v>
      </c>
      <c r="C17" s="14">
        <v>1.4255200000000001</v>
      </c>
      <c r="D17" s="14">
        <v>24.070620000000002</v>
      </c>
      <c r="E17" s="14">
        <v>1.06873</v>
      </c>
      <c r="F17" s="4"/>
      <c r="G17" s="14">
        <f t="shared" si="0"/>
        <v>-10.056649999999994</v>
      </c>
      <c r="H17" s="15">
        <f t="shared" si="1"/>
        <v>1.7816540301921695</v>
      </c>
      <c r="I17" s="15">
        <f t="shared" si="2"/>
        <v>-5.644558275388226</v>
      </c>
      <c r="J17" s="15">
        <f t="shared" si="3"/>
        <v>8.28029409739383E-9</v>
      </c>
      <c r="K17" s="16" t="str">
        <f t="shared" si="4"/>
        <v>Significativa</v>
      </c>
      <c r="M17" s="13" t="s">
        <v>14</v>
      </c>
      <c r="N17" s="14">
        <v>29.427779999999998</v>
      </c>
      <c r="O17" s="14">
        <v>1.1940999999999999</v>
      </c>
      <c r="P17" s="14">
        <v>24.070620000000002</v>
      </c>
      <c r="Q17" s="14">
        <v>1.06873</v>
      </c>
      <c r="R17" s="4"/>
      <c r="S17" s="14">
        <f t="shared" si="5"/>
        <v>-5.3571599999999968</v>
      </c>
      <c r="T17" s="15">
        <f t="shared" si="6"/>
        <v>1.6025163409151246</v>
      </c>
      <c r="U17" s="15">
        <f t="shared" si="7"/>
        <v>-3.342967471358679</v>
      </c>
      <c r="V17" s="15">
        <f t="shared" si="8"/>
        <v>4.144380771684602E-4</v>
      </c>
      <c r="W17" s="16" t="str">
        <f t="shared" si="9"/>
        <v>Significativa</v>
      </c>
    </row>
    <row r="18" spans="1:23" ht="15" customHeight="1" x14ac:dyDescent="0.25">
      <c r="A18" s="13" t="s">
        <v>15</v>
      </c>
      <c r="B18" s="14">
        <v>3.13653</v>
      </c>
      <c r="C18" s="14">
        <v>0.42666999999999999</v>
      </c>
      <c r="D18" s="14">
        <v>8.5273900000000005</v>
      </c>
      <c r="E18" s="14">
        <v>0.63500999999999996</v>
      </c>
      <c r="F18" s="4"/>
      <c r="G18" s="14">
        <f t="shared" si="0"/>
        <v>5.39086</v>
      </c>
      <c r="H18" s="15">
        <f t="shared" si="1"/>
        <v>0.76503920749200816</v>
      </c>
      <c r="I18" s="15">
        <f t="shared" si="2"/>
        <v>7.0465146716762419</v>
      </c>
      <c r="J18" s="15">
        <f t="shared" si="3"/>
        <v>9.1726626294530433E-13</v>
      </c>
      <c r="K18" s="16" t="str">
        <f t="shared" si="4"/>
        <v>Significativa</v>
      </c>
      <c r="M18" s="13" t="s">
        <v>15</v>
      </c>
      <c r="N18" s="14">
        <v>5.7379800000000003</v>
      </c>
      <c r="O18" s="14">
        <v>0.58801000000000003</v>
      </c>
      <c r="P18" s="14">
        <v>8.5273900000000005</v>
      </c>
      <c r="Q18" s="14">
        <v>0.63500999999999996</v>
      </c>
      <c r="R18" s="4"/>
      <c r="S18" s="14">
        <f t="shared" si="5"/>
        <v>2.7894100000000002</v>
      </c>
      <c r="T18" s="15">
        <f t="shared" si="6"/>
        <v>0.86544408265352413</v>
      </c>
      <c r="U18" s="15">
        <f t="shared" si="7"/>
        <v>3.2230967383212503</v>
      </c>
      <c r="V18" s="15">
        <f t="shared" si="8"/>
        <v>6.3406359089146491E-4</v>
      </c>
      <c r="W18" s="16" t="str">
        <f t="shared" si="9"/>
        <v>Significativa</v>
      </c>
    </row>
    <row r="19" spans="1:23" ht="15" customHeight="1" x14ac:dyDescent="0.25">
      <c r="A19" s="13" t="s">
        <v>16</v>
      </c>
      <c r="B19" s="14">
        <v>13.90982</v>
      </c>
      <c r="C19" s="14">
        <v>0.86485999999999996</v>
      </c>
      <c r="D19" s="14">
        <v>14.769130000000001</v>
      </c>
      <c r="E19" s="14">
        <v>0.83242000000000005</v>
      </c>
      <c r="F19" s="4"/>
      <c r="G19" s="14">
        <f t="shared" si="0"/>
        <v>0.85931000000000068</v>
      </c>
      <c r="H19" s="15">
        <f t="shared" si="1"/>
        <v>1.2003773889906457</v>
      </c>
      <c r="I19" s="15">
        <f t="shared" si="2"/>
        <v>0.71586653320966298</v>
      </c>
      <c r="J19" s="15">
        <f t="shared" si="3"/>
        <v>0.23703688251964306</v>
      </c>
      <c r="K19" s="16" t="str">
        <f t="shared" si="4"/>
        <v>No significativa</v>
      </c>
      <c r="M19" s="13" t="s">
        <v>16</v>
      </c>
      <c r="N19" s="14">
        <v>14.01867</v>
      </c>
      <c r="O19" s="14">
        <v>0.89840000000000009</v>
      </c>
      <c r="P19" s="14">
        <v>14.769130000000001</v>
      </c>
      <c r="Q19" s="14">
        <v>0.83242000000000005</v>
      </c>
      <c r="R19" s="4"/>
      <c r="S19" s="14">
        <f t="shared" si="5"/>
        <v>0.75046000000000035</v>
      </c>
      <c r="T19" s="15">
        <f t="shared" si="6"/>
        <v>1.224763494067324</v>
      </c>
      <c r="U19" s="15">
        <f t="shared" si="7"/>
        <v>0.6127387072158671</v>
      </c>
      <c r="V19" s="15">
        <f t="shared" si="8"/>
        <v>0.27002456216495951</v>
      </c>
      <c r="W19" s="16" t="str">
        <f t="shared" si="9"/>
        <v>No significativa</v>
      </c>
    </row>
    <row r="20" spans="1:23" ht="15" customHeight="1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82.953649999999996</v>
      </c>
      <c r="C21" s="14">
        <v>1.0005299999999999</v>
      </c>
      <c r="D21" s="14">
        <v>76.703469999999996</v>
      </c>
      <c r="E21" s="14">
        <v>0.99859000000000009</v>
      </c>
      <c r="F21" s="4"/>
      <c r="G21" s="14">
        <f>D21-B21</f>
        <v>-6.2501800000000003</v>
      </c>
      <c r="H21" s="15">
        <f>SQRT(E21*E21+C21*C21)</f>
        <v>1.4135919740151328</v>
      </c>
      <c r="I21" s="15">
        <f>G21/H21</f>
        <v>-4.4214880353678998</v>
      </c>
      <c r="J21" s="15">
        <f>IF(I21&gt;0,(1-NORMSDIST(I21)),(NORMSDIST(I21)))</f>
        <v>4.9011746581689288E-6</v>
      </c>
      <c r="K21" s="16" t="str">
        <f>IF(J21&lt;0.025,"Significativa","No significativa")</f>
        <v>Significativa</v>
      </c>
      <c r="M21" s="18" t="s">
        <v>18</v>
      </c>
      <c r="N21" s="14">
        <v>80.243339999999989</v>
      </c>
      <c r="O21" s="14">
        <v>1.00688</v>
      </c>
      <c r="P21" s="14">
        <v>76.703469999999996</v>
      </c>
      <c r="Q21" s="14">
        <v>0.99859000000000009</v>
      </c>
      <c r="R21" s="4"/>
      <c r="S21" s="14">
        <f t="shared" ref="S21:S22" si="10">P21-N21</f>
        <v>-3.5398699999999934</v>
      </c>
      <c r="T21" s="15">
        <f t="shared" ref="T21:T22" si="11">SQRT(Q21*Q21+O21*O21)</f>
        <v>1.4180935520973221</v>
      </c>
      <c r="U21" s="15">
        <f t="shared" ref="U21:U22" si="12">S21/T21</f>
        <v>-2.4962175413354224</v>
      </c>
      <c r="V21" s="15">
        <f>IF(U21&gt;0,(1-NORMSDIST(U21)),(NORMSDIST(U21)))</f>
        <v>6.2762797006564912E-3</v>
      </c>
      <c r="W21" s="16" t="str">
        <f t="shared" ref="W21:W22" si="13">IF(V21&lt;0.025,"Significativa","No significativa")</f>
        <v>Significativa</v>
      </c>
    </row>
    <row r="22" spans="1:23" x14ac:dyDescent="0.25">
      <c r="A22" s="18" t="s">
        <v>19</v>
      </c>
      <c r="B22" s="14">
        <v>33.695650000000001</v>
      </c>
      <c r="C22" s="14">
        <v>1.6030699999999998</v>
      </c>
      <c r="D22" s="14">
        <v>22.208300000000001</v>
      </c>
      <c r="E22" s="14">
        <v>1.03251</v>
      </c>
      <c r="F22" s="4"/>
      <c r="G22" s="14">
        <f>D22-B22</f>
        <v>-11.487349999999999</v>
      </c>
      <c r="H22" s="15">
        <f>SQRT(E22*E22+C22*C22)</f>
        <v>1.9068063155443973</v>
      </c>
      <c r="I22" s="15">
        <f>G22/H22</f>
        <v>-6.0243926749950667</v>
      </c>
      <c r="J22" s="15">
        <f>IF(I22&gt;0,(1-NORMSDIST(I22)),(NORMSDIST(I22)))</f>
        <v>8.4872898582484595E-10</v>
      </c>
      <c r="K22" s="16" t="str">
        <f>IF(J22&lt;0.025,"Significativa","No significativa")</f>
        <v>Significativa</v>
      </c>
      <c r="M22" s="18" t="s">
        <v>19</v>
      </c>
      <c r="N22" s="14">
        <v>20.375419999999998</v>
      </c>
      <c r="O22" s="14">
        <v>1.19143</v>
      </c>
      <c r="P22" s="14">
        <v>22.208300000000001</v>
      </c>
      <c r="Q22" s="14">
        <v>1.03251</v>
      </c>
      <c r="R22" s="4"/>
      <c r="S22" s="14">
        <f t="shared" si="10"/>
        <v>1.832880000000003</v>
      </c>
      <c r="T22" s="15">
        <f t="shared" si="11"/>
        <v>1.5765729748413171</v>
      </c>
      <c r="U22" s="15">
        <f t="shared" si="12"/>
        <v>1.1625722559302929</v>
      </c>
      <c r="V22" s="15">
        <f>IF(U22&gt;0,(1-NORMSDIST(U22)),(NORMSDIST(U22)))</f>
        <v>0.12250154635981869</v>
      </c>
      <c r="W22" s="16" t="str">
        <f t="shared" si="13"/>
        <v>No 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x14ac:dyDescent="0.25">
      <c r="A24" s="20" t="s">
        <v>21</v>
      </c>
      <c r="B24" s="14">
        <v>21.645250000000001</v>
      </c>
      <c r="C24" s="14">
        <v>0.77024000000000004</v>
      </c>
      <c r="D24" s="14">
        <v>14.892859999999999</v>
      </c>
      <c r="E24" s="14">
        <v>0.56274999999999997</v>
      </c>
      <c r="F24" s="4"/>
      <c r="G24" s="14">
        <f t="shared" ref="G24:G29" si="14">D24-B24</f>
        <v>-6.7523900000000019</v>
      </c>
      <c r="H24" s="15">
        <f t="shared" ref="H24:H29" si="15">SQRT(E24*E24+C24*C24)</f>
        <v>0.9539167783931678</v>
      </c>
      <c r="I24" s="15">
        <f t="shared" ref="I24:I29" si="16">G24/H24</f>
        <v>-7.0785944360619331</v>
      </c>
      <c r="J24" s="15">
        <f t="shared" ref="J24:J29" si="17">IF(I24&gt;0,(1-NORMSDIST(I24)),(NORMSDIST(I24)))</f>
        <v>7.2811937190656572E-13</v>
      </c>
      <c r="K24" s="16" t="str">
        <f t="shared" ref="K24:K29" si="18">IF(J24&lt;0.025,"Significativa","No significativa")</f>
        <v>Significativa</v>
      </c>
      <c r="M24" s="20" t="s">
        <v>21</v>
      </c>
      <c r="N24" s="14">
        <v>16.904689999999999</v>
      </c>
      <c r="O24" s="14">
        <v>0.75364999999999993</v>
      </c>
      <c r="P24" s="14">
        <v>14.892859999999999</v>
      </c>
      <c r="Q24" s="14">
        <v>0.56274999999999997</v>
      </c>
      <c r="R24" s="4"/>
      <c r="S24" s="14">
        <f t="shared" ref="S24:S29" si="19">P24-N24</f>
        <v>-2.0118299999999998</v>
      </c>
      <c r="T24" s="15">
        <f t="shared" ref="T24:T29" si="20">SQRT(Q24*Q24+O24*O24)</f>
        <v>0.94057210515728129</v>
      </c>
      <c r="U24" s="15">
        <f t="shared" ref="U24:U29" si="21">S24/T24</f>
        <v>-2.1389428720763348</v>
      </c>
      <c r="V24" s="15">
        <f t="shared" ref="V24:V29" si="22">IF(U24&gt;0,(1-NORMSDIST(U24)),(NORMSDIST(U24)))</f>
        <v>1.6220147671394531E-2</v>
      </c>
      <c r="W24" s="16" t="str">
        <f t="shared" ref="W24:W29" si="23">IF(V24&lt;0.025,"Significativa","No significativa")</f>
        <v>Significativa</v>
      </c>
    </row>
    <row r="25" spans="1:23" x14ac:dyDescent="0.25">
      <c r="A25" s="18" t="s">
        <v>22</v>
      </c>
      <c r="B25" s="14">
        <v>38.411999999999999</v>
      </c>
      <c r="C25" s="14">
        <v>1.2828600000000001</v>
      </c>
      <c r="D25" s="14">
        <v>31.771919999999998</v>
      </c>
      <c r="E25" s="14">
        <v>0.97429999999999994</v>
      </c>
      <c r="F25" s="4"/>
      <c r="G25" s="14">
        <f t="shared" si="14"/>
        <v>-6.6400800000000011</v>
      </c>
      <c r="H25" s="15">
        <f t="shared" si="15"/>
        <v>1.6108973491815053</v>
      </c>
      <c r="I25" s="15">
        <f t="shared" si="16"/>
        <v>-4.1219758685268282</v>
      </c>
      <c r="J25" s="15">
        <f t="shared" si="17"/>
        <v>1.8781827893940308E-5</v>
      </c>
      <c r="K25" s="16" t="str">
        <f t="shared" si="18"/>
        <v>Significativa</v>
      </c>
      <c r="M25" s="18" t="s">
        <v>22</v>
      </c>
      <c r="N25" s="14">
        <v>16.81317</v>
      </c>
      <c r="O25" s="14">
        <v>0.72914000000000001</v>
      </c>
      <c r="P25" s="14">
        <v>31.771919999999998</v>
      </c>
      <c r="Q25" s="14">
        <v>0.97429999999999994</v>
      </c>
      <c r="R25" s="4"/>
      <c r="S25" s="14">
        <f t="shared" si="19"/>
        <v>14.958749999999998</v>
      </c>
      <c r="T25" s="15">
        <f t="shared" si="20"/>
        <v>1.2169246606096862</v>
      </c>
      <c r="U25" s="15">
        <f t="shared" si="21"/>
        <v>12.292256442979452</v>
      </c>
      <c r="V25" s="15">
        <f t="shared" si="22"/>
        <v>0</v>
      </c>
      <c r="W25" s="16" t="str">
        <f t="shared" si="23"/>
        <v>Significativa</v>
      </c>
    </row>
    <row r="26" spans="1:23" x14ac:dyDescent="0.25">
      <c r="A26" s="18" t="s">
        <v>23</v>
      </c>
      <c r="B26" s="14">
        <v>72.339709999999997</v>
      </c>
      <c r="C26" s="14">
        <v>1.25509</v>
      </c>
      <c r="D26" s="14">
        <v>62.848610000000008</v>
      </c>
      <c r="E26" s="14">
        <v>0.99778999999999995</v>
      </c>
      <c r="F26" s="4"/>
      <c r="G26" s="14">
        <f t="shared" si="14"/>
        <v>-9.4910999999999888</v>
      </c>
      <c r="H26" s="15">
        <f t="shared" si="15"/>
        <v>1.6033826094229662</v>
      </c>
      <c r="I26" s="15">
        <f t="shared" si="16"/>
        <v>-5.9194230648514372</v>
      </c>
      <c r="J26" s="15">
        <f t="shared" si="17"/>
        <v>1.6153646201497745E-9</v>
      </c>
      <c r="K26" s="16" t="str">
        <f t="shared" si="18"/>
        <v>Significativa</v>
      </c>
      <c r="M26" s="18" t="s">
        <v>23</v>
      </c>
      <c r="N26" s="14">
        <v>66.504739999999998</v>
      </c>
      <c r="O26" s="14">
        <v>1.15204</v>
      </c>
      <c r="P26" s="14">
        <v>62.848610000000008</v>
      </c>
      <c r="Q26" s="14">
        <v>0.99778999999999995</v>
      </c>
      <c r="R26" s="4"/>
      <c r="S26" s="14">
        <f t="shared" si="19"/>
        <v>-3.6561299999999903</v>
      </c>
      <c r="T26" s="15">
        <f t="shared" si="20"/>
        <v>1.524067270726591</v>
      </c>
      <c r="U26" s="15">
        <f t="shared" si="21"/>
        <v>-2.3989295421697165</v>
      </c>
      <c r="V26" s="15">
        <f t="shared" si="22"/>
        <v>8.2215391404386901E-3</v>
      </c>
      <c r="W26" s="16" t="str">
        <f t="shared" si="23"/>
        <v>Significativa</v>
      </c>
    </row>
    <row r="27" spans="1:23" x14ac:dyDescent="0.25">
      <c r="A27" s="18" t="s">
        <v>24</v>
      </c>
      <c r="B27" s="14">
        <v>15.782689999999999</v>
      </c>
      <c r="C27" s="14">
        <v>1.6448700000000001</v>
      </c>
      <c r="D27" s="14">
        <v>9.0565800000000003</v>
      </c>
      <c r="E27" s="14">
        <v>0.77490000000000003</v>
      </c>
      <c r="F27" s="4"/>
      <c r="G27" s="14">
        <f t="shared" si="14"/>
        <v>-6.7261099999999985</v>
      </c>
      <c r="H27" s="15">
        <f t="shared" si="15"/>
        <v>1.8182594223322479</v>
      </c>
      <c r="I27" s="15">
        <f t="shared" si="16"/>
        <v>-3.6992026095883177</v>
      </c>
      <c r="J27" s="15">
        <f t="shared" si="17"/>
        <v>1.0813894931200661E-4</v>
      </c>
      <c r="K27" s="16" t="str">
        <f t="shared" si="18"/>
        <v>Significativa</v>
      </c>
      <c r="M27" s="18" t="s">
        <v>24</v>
      </c>
      <c r="N27" s="14">
        <v>11.29433</v>
      </c>
      <c r="O27" s="14">
        <v>0.95218000000000003</v>
      </c>
      <c r="P27" s="14">
        <v>9.0565800000000003</v>
      </c>
      <c r="Q27" s="14">
        <v>0.77490000000000003</v>
      </c>
      <c r="R27" s="4"/>
      <c r="S27" s="14">
        <f t="shared" si="19"/>
        <v>-2.2377500000000001</v>
      </c>
      <c r="T27" s="15">
        <f t="shared" si="20"/>
        <v>1.227646839445286</v>
      </c>
      <c r="U27" s="15">
        <f t="shared" si="21"/>
        <v>-1.8227962049828033</v>
      </c>
      <c r="V27" s="15">
        <f t="shared" si="22"/>
        <v>3.4167131368109414E-2</v>
      </c>
      <c r="W27" s="16" t="str">
        <f t="shared" si="23"/>
        <v>No significativa</v>
      </c>
    </row>
    <row r="28" spans="1:23" x14ac:dyDescent="0.25">
      <c r="A28" s="18" t="s">
        <v>25</v>
      </c>
      <c r="B28" s="14">
        <v>22.84714</v>
      </c>
      <c r="C28" s="14">
        <v>1.93469</v>
      </c>
      <c r="D28" s="14">
        <v>17.931050000000003</v>
      </c>
      <c r="E28" s="14">
        <v>1.3257400000000001</v>
      </c>
      <c r="F28" s="4"/>
      <c r="G28" s="14">
        <f t="shared" si="14"/>
        <v>-4.916089999999997</v>
      </c>
      <c r="H28" s="15">
        <f t="shared" si="15"/>
        <v>2.3453383431181098</v>
      </c>
      <c r="I28" s="15">
        <f t="shared" si="16"/>
        <v>-2.0961112133032764</v>
      </c>
      <c r="J28" s="15">
        <f t="shared" si="17"/>
        <v>1.8036163263550016E-2</v>
      </c>
      <c r="K28" s="16" t="str">
        <f t="shared" si="18"/>
        <v>Significativa</v>
      </c>
      <c r="M28" s="18" t="s">
        <v>25</v>
      </c>
      <c r="N28" s="14">
        <v>19.926550000000002</v>
      </c>
      <c r="O28" s="14">
        <v>1.9399799999999998</v>
      </c>
      <c r="P28" s="14">
        <v>17.931050000000003</v>
      </c>
      <c r="Q28" s="14">
        <v>1.3257400000000001</v>
      </c>
      <c r="R28" s="4"/>
      <c r="S28" s="14">
        <f t="shared" si="19"/>
        <v>-1.9954999999999998</v>
      </c>
      <c r="T28" s="15">
        <f t="shared" si="20"/>
        <v>2.3497040128492781</v>
      </c>
      <c r="U28" s="15">
        <f t="shared" si="21"/>
        <v>-0.8492559016317266</v>
      </c>
      <c r="V28" s="15">
        <f t="shared" si="22"/>
        <v>0.19786945663158018</v>
      </c>
      <c r="W28" s="16" t="str">
        <f t="shared" si="23"/>
        <v>No significativa</v>
      </c>
    </row>
    <row r="29" spans="1:23" x14ac:dyDescent="0.25">
      <c r="A29" s="18" t="s">
        <v>26</v>
      </c>
      <c r="B29" s="14">
        <v>24.997450000000001</v>
      </c>
      <c r="C29" s="14">
        <v>1.7094600000000002</v>
      </c>
      <c r="D29" s="14">
        <v>23.13617</v>
      </c>
      <c r="E29" s="14">
        <v>1.0183899999999999</v>
      </c>
      <c r="F29" s="4"/>
      <c r="G29" s="14">
        <f t="shared" si="14"/>
        <v>-1.8612800000000007</v>
      </c>
      <c r="H29" s="15">
        <f t="shared" si="15"/>
        <v>1.9898169975402262</v>
      </c>
      <c r="I29" s="15">
        <f t="shared" si="16"/>
        <v>-0.93540260350619153</v>
      </c>
      <c r="J29" s="15">
        <f t="shared" si="17"/>
        <v>0.17479042784729101</v>
      </c>
      <c r="K29" s="16" t="str">
        <f t="shared" si="18"/>
        <v>No significativa</v>
      </c>
      <c r="M29" s="18" t="s">
        <v>26</v>
      </c>
      <c r="N29" s="14">
        <v>24.59179</v>
      </c>
      <c r="O29" s="14">
        <v>1.2362500000000001</v>
      </c>
      <c r="P29" s="14">
        <v>23.13617</v>
      </c>
      <c r="Q29" s="14">
        <v>1.0183899999999999</v>
      </c>
      <c r="R29" s="4"/>
      <c r="S29" s="14">
        <f t="shared" si="19"/>
        <v>-1.4556199999999997</v>
      </c>
      <c r="T29" s="15">
        <f t="shared" si="20"/>
        <v>1.6016966799615964</v>
      </c>
      <c r="U29" s="15">
        <f t="shared" si="21"/>
        <v>-0.90879878706803641</v>
      </c>
      <c r="V29" s="15">
        <f t="shared" si="22"/>
        <v>0.18172817348269146</v>
      </c>
      <c r="W29" s="16" t="str">
        <f t="shared" si="23"/>
        <v>No 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17.52984</v>
      </c>
      <c r="C31" s="14">
        <v>1.3577900000000001</v>
      </c>
      <c r="D31" s="14">
        <v>25.494679999999999</v>
      </c>
      <c r="E31" s="14">
        <v>1.2214100000000001</v>
      </c>
      <c r="F31" s="22"/>
      <c r="G31" s="14">
        <f t="shared" ref="G31:G32" si="24">D31-B31</f>
        <v>7.9648399999999988</v>
      </c>
      <c r="H31" s="15">
        <f t="shared" ref="H31:H32" si="25">SQRT(E31*E31+C31*C31)</f>
        <v>1.8263176263180509</v>
      </c>
      <c r="I31" s="15">
        <f t="shared" ref="I31:I32" si="26">G31/H31</f>
        <v>4.3611471987255142</v>
      </c>
      <c r="J31" s="15">
        <f>IF(I31&gt;0,(1-NORMSDIST(I31)),(NORMSDIST(I31)))</f>
        <v>6.4691142267481183E-6</v>
      </c>
      <c r="K31" s="16" t="str">
        <f t="shared" ref="K31:K32" si="27">IF(J31&lt;0.025,"Significativa","No significativa")</f>
        <v>Significativa</v>
      </c>
      <c r="M31" s="21" t="s">
        <v>28</v>
      </c>
      <c r="N31" s="14">
        <v>19.633649999999999</v>
      </c>
      <c r="O31" s="14">
        <v>1.4510399999999999</v>
      </c>
      <c r="P31" s="14">
        <v>25.494679999999999</v>
      </c>
      <c r="Q31" s="14">
        <v>1.2214100000000001</v>
      </c>
      <c r="R31" s="22"/>
      <c r="S31" s="14">
        <f t="shared" ref="S31:S32" si="28">P31-N31</f>
        <v>5.8610299999999995</v>
      </c>
      <c r="T31" s="15">
        <f t="shared" ref="T31:T32" si="29">SQRT(Q31*Q31+O31*O31)</f>
        <v>1.8966706276262095</v>
      </c>
      <c r="U31" s="15">
        <f t="shared" ref="U31:U32" si="30">S31/T31</f>
        <v>3.0901675360130452</v>
      </c>
      <c r="V31" s="15">
        <f>IF(U31&gt;0,(1-NORMSDIST(U31)),(NORMSDIST(U31)))</f>
        <v>1.0002181087722661E-3</v>
      </c>
      <c r="W31" s="16" t="str">
        <f t="shared" ref="W31:W32" si="31">IF(V31&lt;0.025,"Significativa","No significativa")</f>
        <v>Significativa</v>
      </c>
    </row>
    <row r="32" spans="1:23" ht="15" customHeight="1" thickBot="1" x14ac:dyDescent="0.3">
      <c r="A32" s="23" t="s">
        <v>29</v>
      </c>
      <c r="B32" s="30">
        <v>51.962909999999994</v>
      </c>
      <c r="C32" s="30">
        <v>1.6067000000000002</v>
      </c>
      <c r="D32" s="30">
        <v>61.160250000000005</v>
      </c>
      <c r="E32" s="30">
        <v>1.3660000000000001</v>
      </c>
      <c r="F32" s="24"/>
      <c r="G32" s="30">
        <f t="shared" si="24"/>
        <v>9.1973400000000112</v>
      </c>
      <c r="H32" s="25">
        <f t="shared" si="25"/>
        <v>2.1088956564989179</v>
      </c>
      <c r="I32" s="25">
        <f t="shared" si="26"/>
        <v>4.3612115050153646</v>
      </c>
      <c r="J32" s="25">
        <f>IF(I32&gt;0,(1-NORMSDIST(I32)),(NORMSDIST(I32)))</f>
        <v>6.467212938732203E-6</v>
      </c>
      <c r="K32" s="26" t="str">
        <f t="shared" si="27"/>
        <v>Significativa</v>
      </c>
      <c r="M32" s="23" t="s">
        <v>29</v>
      </c>
      <c r="N32" s="30">
        <v>56.553549999999994</v>
      </c>
      <c r="O32" s="30">
        <v>1.55776</v>
      </c>
      <c r="P32" s="30">
        <v>61.160250000000005</v>
      </c>
      <c r="Q32" s="30">
        <v>1.3660000000000001</v>
      </c>
      <c r="R32" s="24"/>
      <c r="S32" s="30">
        <f t="shared" si="28"/>
        <v>4.6067000000000107</v>
      </c>
      <c r="T32" s="25">
        <f t="shared" si="29"/>
        <v>2.0718523638522122</v>
      </c>
      <c r="U32" s="25">
        <f t="shared" si="30"/>
        <v>2.223469239591346</v>
      </c>
      <c r="V32" s="25">
        <f>IF(U32&gt;0,(1-NORMSDIST(U32)),(NORMSDIST(U32)))</f>
        <v>1.3092087673914898E-2</v>
      </c>
      <c r="W32" s="26" t="str">
        <f t="shared" si="31"/>
        <v>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D11:E11"/>
    <mergeCell ref="I11:I12"/>
    <mergeCell ref="J11:J12"/>
    <mergeCell ref="K11:K12"/>
    <mergeCell ref="G12:H12"/>
    <mergeCell ref="M9:W9"/>
    <mergeCell ref="M10:W10"/>
    <mergeCell ref="M11:M12"/>
    <mergeCell ref="N11:O11"/>
    <mergeCell ref="P11:Q11"/>
    <mergeCell ref="U11:U12"/>
    <mergeCell ref="V11:V12"/>
    <mergeCell ref="W11:W12"/>
    <mergeCell ref="S12:T12"/>
    <mergeCell ref="A9:K9"/>
    <mergeCell ref="A10:K10"/>
    <mergeCell ref="A11:A12"/>
    <mergeCell ref="B11:C1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7039-4FA1-4188-A5B7-50ACFBA05FEE}">
  <dimension ref="A9:W34"/>
  <sheetViews>
    <sheetView workbookViewId="0">
      <selection activeCell="Y8" sqref="Y1:AI1048576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x14ac:dyDescent="0.25">
      <c r="A9" s="54" t="s">
        <v>35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36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x14ac:dyDescent="0.25">
      <c r="A14" s="13" t="s">
        <v>11</v>
      </c>
      <c r="B14" s="14">
        <v>41.745840000000001</v>
      </c>
      <c r="C14" s="14">
        <v>1.7925900000000001</v>
      </c>
      <c r="D14" s="14">
        <v>30.535810000000001</v>
      </c>
      <c r="E14" s="14">
        <v>1.4878100000000001</v>
      </c>
      <c r="F14" s="4"/>
      <c r="G14" s="14">
        <f t="shared" ref="G14:G19" si="0">D14-B14</f>
        <v>-11.21003</v>
      </c>
      <c r="H14" s="15">
        <f t="shared" ref="H14:H19" si="1">SQRT(E14*E14+C14*C14)</f>
        <v>2.3295831181136251</v>
      </c>
      <c r="I14" s="15">
        <f t="shared" ref="I14:I19" si="2">G14/H14</f>
        <v>-4.8120326391604769</v>
      </c>
      <c r="J14" s="15">
        <f t="shared" ref="J14:J19" si="3">IF(I14&gt;0,(1-NORMSDIST(I14)),(NORMSDIST(I14)))</f>
        <v>7.4701473119845937E-7</v>
      </c>
      <c r="K14" s="16" t="str">
        <f t="shared" ref="K14:K19" si="4">IF(J14&lt;0.025,"Significativa","No significativa")</f>
        <v>Significativa</v>
      </c>
      <c r="M14" s="13" t="s">
        <v>11</v>
      </c>
      <c r="N14" s="14">
        <v>34.770430000000005</v>
      </c>
      <c r="O14" s="14">
        <v>2.3999900000000003</v>
      </c>
      <c r="P14" s="14">
        <v>30.535810000000001</v>
      </c>
      <c r="Q14" s="14">
        <v>1.4878100000000001</v>
      </c>
      <c r="R14" s="4"/>
      <c r="S14" s="14">
        <f>P14-N14</f>
        <v>-4.2346200000000032</v>
      </c>
      <c r="T14" s="15">
        <f>SQRT(Q14*Q14+O14*O14)</f>
        <v>2.8237440741327817</v>
      </c>
      <c r="U14" s="15">
        <f>S14/T14</f>
        <v>-1.4996472374361776</v>
      </c>
      <c r="V14" s="15">
        <f>IF(U14&gt;0,(1-NORMSDIST(U14)),(NORMSDIST(U14)))</f>
        <v>6.6852902317165452E-2</v>
      </c>
      <c r="W14" s="16" t="str">
        <f>IF(V14&lt;0.025,"Significativa","No significativa")</f>
        <v>No significativa</v>
      </c>
    </row>
    <row r="15" spans="1:23" x14ac:dyDescent="0.25">
      <c r="A15" s="13" t="s">
        <v>12</v>
      </c>
      <c r="B15" s="14">
        <v>35.525099999999995</v>
      </c>
      <c r="C15" s="14">
        <v>1.54203</v>
      </c>
      <c r="D15" s="14">
        <v>26.444060000000004</v>
      </c>
      <c r="E15" s="14">
        <v>1.2416699999999998</v>
      </c>
      <c r="F15" s="4"/>
      <c r="G15" s="14">
        <f t="shared" si="0"/>
        <v>-9.0810399999999909</v>
      </c>
      <c r="H15" s="15">
        <f t="shared" si="1"/>
        <v>1.9797981992617328</v>
      </c>
      <c r="I15" s="15">
        <f t="shared" si="2"/>
        <v>-4.5868513282749284</v>
      </c>
      <c r="J15" s="15">
        <f t="shared" si="3"/>
        <v>2.249904382640624E-6</v>
      </c>
      <c r="K15" s="16" t="str">
        <f t="shared" si="4"/>
        <v>Significativa</v>
      </c>
      <c r="M15" s="13" t="s">
        <v>12</v>
      </c>
      <c r="N15" s="14">
        <v>28.891539999999999</v>
      </c>
      <c r="O15" s="14">
        <v>1.6038199999999998</v>
      </c>
      <c r="P15" s="14">
        <v>26.444060000000004</v>
      </c>
      <c r="Q15" s="14">
        <v>1.2416699999999998</v>
      </c>
      <c r="R15" s="4"/>
      <c r="S15" s="14">
        <f t="shared" ref="S15:S19" si="5">P15-N15</f>
        <v>-2.4474799999999952</v>
      </c>
      <c r="T15" s="15">
        <f t="shared" ref="T15:T19" si="6">SQRT(Q15*Q15+O15*O15)</f>
        <v>2.0282955852882978</v>
      </c>
      <c r="U15" s="15">
        <f t="shared" ref="U15:U19" si="7">S15/T15</f>
        <v>-1.2066683070022635</v>
      </c>
      <c r="V15" s="15">
        <f t="shared" ref="V15:V19" si="8">IF(U15&gt;0,(1-NORMSDIST(U15)),(NORMSDIST(U15)))</f>
        <v>0.11377995458253826</v>
      </c>
      <c r="W15" s="16" t="str">
        <f t="shared" ref="W15:W19" si="9">IF(V15&lt;0.025,"Significativa","No significativa")</f>
        <v>No significativa</v>
      </c>
    </row>
    <row r="16" spans="1:23" x14ac:dyDescent="0.25">
      <c r="A16" s="13" t="s">
        <v>13</v>
      </c>
      <c r="B16" s="31">
        <v>6.2207400000000002</v>
      </c>
      <c r="C16" s="14">
        <v>1.07131</v>
      </c>
      <c r="D16" s="14">
        <v>4.0917599999999998</v>
      </c>
      <c r="E16" s="14">
        <v>0.82168999999999992</v>
      </c>
      <c r="F16" s="4"/>
      <c r="G16" s="14">
        <f t="shared" si="0"/>
        <v>-2.1289800000000003</v>
      </c>
      <c r="H16" s="15">
        <f t="shared" si="1"/>
        <v>1.3501405749772872</v>
      </c>
      <c r="I16" s="15">
        <f t="shared" si="2"/>
        <v>-1.5768580246066712</v>
      </c>
      <c r="J16" s="15">
        <f t="shared" si="3"/>
        <v>5.7414098398045059E-2</v>
      </c>
      <c r="K16" s="16" t="str">
        <f t="shared" si="4"/>
        <v>No significativa</v>
      </c>
      <c r="M16" s="13" t="s">
        <v>13</v>
      </c>
      <c r="N16" s="31">
        <v>5.8788800000000005</v>
      </c>
      <c r="O16" s="14">
        <v>2.1326899999999998</v>
      </c>
      <c r="P16" s="14">
        <v>4.0917599999999998</v>
      </c>
      <c r="Q16" s="14">
        <v>0.82168999999999992</v>
      </c>
      <c r="R16" s="4"/>
      <c r="S16" s="14">
        <f t="shared" si="5"/>
        <v>-1.7871200000000007</v>
      </c>
      <c r="T16" s="15">
        <f t="shared" si="6"/>
        <v>2.2855067473538551</v>
      </c>
      <c r="U16" s="15">
        <f t="shared" si="7"/>
        <v>-0.78193599825032967</v>
      </c>
      <c r="V16" s="15">
        <f t="shared" si="8"/>
        <v>0.21712609390384885</v>
      </c>
      <c r="W16" s="16" t="str">
        <f t="shared" si="9"/>
        <v>No significativa</v>
      </c>
    </row>
    <row r="17" spans="1:23" x14ac:dyDescent="0.25">
      <c r="A17" s="13" t="s">
        <v>14</v>
      </c>
      <c r="B17" s="14">
        <v>34.47457</v>
      </c>
      <c r="C17" s="14">
        <v>1.5650299999999999</v>
      </c>
      <c r="D17" s="14">
        <v>38.222250000000003</v>
      </c>
      <c r="E17" s="14">
        <v>1.44706</v>
      </c>
      <c r="F17" s="4"/>
      <c r="G17" s="14">
        <f t="shared" si="0"/>
        <v>3.7476800000000026</v>
      </c>
      <c r="H17" s="15">
        <f t="shared" si="1"/>
        <v>2.1315021802709939</v>
      </c>
      <c r="I17" s="15">
        <f t="shared" si="2"/>
        <v>1.7582341855843338</v>
      </c>
      <c r="J17" s="15">
        <f t="shared" si="3"/>
        <v>3.9353835391851888E-2</v>
      </c>
      <c r="K17" s="16" t="str">
        <f t="shared" si="4"/>
        <v>No significativa</v>
      </c>
      <c r="M17" s="13" t="s">
        <v>14</v>
      </c>
      <c r="N17" s="14">
        <v>35.93909</v>
      </c>
      <c r="O17" s="14">
        <v>1.59335</v>
      </c>
      <c r="P17" s="14">
        <v>38.222250000000003</v>
      </c>
      <c r="Q17" s="14">
        <v>1.44706</v>
      </c>
      <c r="R17" s="4"/>
      <c r="S17" s="14">
        <f t="shared" si="5"/>
        <v>2.2831600000000023</v>
      </c>
      <c r="T17" s="15">
        <f t="shared" si="6"/>
        <v>2.1523816729613734</v>
      </c>
      <c r="U17" s="15">
        <f t="shared" si="7"/>
        <v>1.0607598218668608</v>
      </c>
      <c r="V17" s="15">
        <f t="shared" si="8"/>
        <v>0.14439953286324447</v>
      </c>
      <c r="W17" s="16" t="str">
        <f t="shared" si="9"/>
        <v>No significativa</v>
      </c>
    </row>
    <row r="18" spans="1:23" x14ac:dyDescent="0.25">
      <c r="A18" s="13" t="s">
        <v>15</v>
      </c>
      <c r="B18" s="14">
        <v>4.3980100000000002</v>
      </c>
      <c r="C18" s="14">
        <v>0.58816000000000002</v>
      </c>
      <c r="D18" s="14">
        <v>6.1722199999999994</v>
      </c>
      <c r="E18" s="14">
        <v>0.64380999999999999</v>
      </c>
      <c r="F18" s="4"/>
      <c r="G18" s="14">
        <f t="shared" si="0"/>
        <v>1.7742099999999992</v>
      </c>
      <c r="H18" s="15">
        <f t="shared" si="1"/>
        <v>0.87202264976318133</v>
      </c>
      <c r="I18" s="15">
        <f t="shared" si="2"/>
        <v>2.0345916479139947</v>
      </c>
      <c r="J18" s="15">
        <f t="shared" si="3"/>
        <v>2.0945989229368744E-2</v>
      </c>
      <c r="K18" s="16" t="str">
        <f t="shared" si="4"/>
        <v>Significativa</v>
      </c>
      <c r="M18" s="13" t="s">
        <v>15</v>
      </c>
      <c r="N18" s="14">
        <v>4.8968800000000003</v>
      </c>
      <c r="O18" s="14">
        <v>0.63844000000000001</v>
      </c>
      <c r="P18" s="14">
        <v>6.1722199999999994</v>
      </c>
      <c r="Q18" s="14">
        <v>0.64380999999999999</v>
      </c>
      <c r="R18" s="4"/>
      <c r="S18" s="14">
        <f t="shared" si="5"/>
        <v>1.275339999999999</v>
      </c>
      <c r="T18" s="15">
        <f t="shared" si="6"/>
        <v>0.90669562130849624</v>
      </c>
      <c r="U18" s="15">
        <f t="shared" si="7"/>
        <v>1.4065800804899602</v>
      </c>
      <c r="V18" s="15">
        <f t="shared" si="8"/>
        <v>7.9775971589371886E-2</v>
      </c>
      <c r="W18" s="16" t="str">
        <f t="shared" si="9"/>
        <v>No significativa</v>
      </c>
    </row>
    <row r="19" spans="1:23" x14ac:dyDescent="0.25">
      <c r="A19" s="13" t="s">
        <v>16</v>
      </c>
      <c r="B19" s="14">
        <v>19.38158</v>
      </c>
      <c r="C19" s="14">
        <v>1.15327</v>
      </c>
      <c r="D19" s="14">
        <v>25.06972</v>
      </c>
      <c r="E19" s="14">
        <v>1.16015</v>
      </c>
      <c r="F19" s="4"/>
      <c r="G19" s="14">
        <f t="shared" si="0"/>
        <v>5.6881400000000006</v>
      </c>
      <c r="H19" s="15">
        <f t="shared" si="1"/>
        <v>1.6358422036981439</v>
      </c>
      <c r="I19" s="15">
        <f t="shared" si="2"/>
        <v>3.4771935747475142</v>
      </c>
      <c r="J19" s="15">
        <f t="shared" si="3"/>
        <v>2.5334592835313252E-4</v>
      </c>
      <c r="K19" s="16" t="str">
        <f t="shared" si="4"/>
        <v>Significativa</v>
      </c>
      <c r="M19" s="13" t="s">
        <v>16</v>
      </c>
      <c r="N19" s="14">
        <v>24.393599999999999</v>
      </c>
      <c r="O19" s="14">
        <v>1.46208</v>
      </c>
      <c r="P19" s="14">
        <v>25.06972</v>
      </c>
      <c r="Q19" s="14">
        <v>1.16015</v>
      </c>
      <c r="R19" s="4"/>
      <c r="S19" s="14">
        <f t="shared" si="5"/>
        <v>0.67612000000000094</v>
      </c>
      <c r="T19" s="15">
        <f t="shared" si="6"/>
        <v>1.8664474139123235</v>
      </c>
      <c r="U19" s="15">
        <f t="shared" si="7"/>
        <v>0.36224969155855452</v>
      </c>
      <c r="V19" s="15">
        <f t="shared" si="8"/>
        <v>0.35858272449925854</v>
      </c>
      <c r="W19" s="16" t="str">
        <f t="shared" si="9"/>
        <v>No significativa</v>
      </c>
    </row>
    <row r="20" spans="1:23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76.220410000000001</v>
      </c>
      <c r="C21" s="14">
        <v>1.3226599999999999</v>
      </c>
      <c r="D21" s="14">
        <v>68.758070000000004</v>
      </c>
      <c r="E21" s="14">
        <v>1.25912</v>
      </c>
      <c r="F21" s="4"/>
      <c r="G21" s="14">
        <f>D21-B21</f>
        <v>-7.4623399999999975</v>
      </c>
      <c r="H21" s="15">
        <f>SQRT(E21*E21+C21*C21)</f>
        <v>1.8261469409661426</v>
      </c>
      <c r="I21" s="15">
        <f>G21/H21</f>
        <v>-4.0863852916742651</v>
      </c>
      <c r="J21" s="15">
        <f>IF(I21&gt;0,(1-NORMSDIST(I21)),(NORMSDIST(I21)))</f>
        <v>2.1907297618299778E-5</v>
      </c>
      <c r="K21" s="16" t="str">
        <f>IF(J21&lt;0.025,"Significativa","No significativa")</f>
        <v>Significativa</v>
      </c>
      <c r="M21" s="18" t="s">
        <v>18</v>
      </c>
      <c r="N21" s="14">
        <v>70.709519999999998</v>
      </c>
      <c r="O21" s="14">
        <v>1.66151</v>
      </c>
      <c r="P21" s="14">
        <v>68.758070000000004</v>
      </c>
      <c r="Q21" s="14">
        <v>1.25912</v>
      </c>
      <c r="R21" s="4"/>
      <c r="S21" s="14">
        <f t="shared" ref="S21:S22" si="10">P21-N21</f>
        <v>-1.9514499999999941</v>
      </c>
      <c r="T21" s="15">
        <f t="shared" ref="T21:T22" si="11">SQRT(Q21*Q21+O21*O21)</f>
        <v>2.0847058916067756</v>
      </c>
      <c r="U21" s="15">
        <f t="shared" ref="U21:U22" si="12">S21/T21</f>
        <v>-0.9360792847838717</v>
      </c>
      <c r="V21" s="15">
        <f>IF(U21&gt;0,(1-NORMSDIST(U21)),(NORMSDIST(U21)))</f>
        <v>0.17461618390528802</v>
      </c>
      <c r="W21" s="16" t="str">
        <f t="shared" ref="W21:W22" si="13">IF(V21&lt;0.025,"Significativa","No significativa")</f>
        <v>No significativa</v>
      </c>
    </row>
    <row r="22" spans="1:23" x14ac:dyDescent="0.25">
      <c r="A22" s="18" t="s">
        <v>19</v>
      </c>
      <c r="B22" s="14">
        <v>23.24841</v>
      </c>
      <c r="C22" s="14">
        <v>2.2205699999999999</v>
      </c>
      <c r="D22" s="14">
        <v>15.546329999999999</v>
      </c>
      <c r="E22" s="14">
        <v>1.1421000000000001</v>
      </c>
      <c r="F22" s="4"/>
      <c r="G22" s="14">
        <f>D22-B22</f>
        <v>-7.7020800000000005</v>
      </c>
      <c r="H22" s="15">
        <f>SQRT(E22*E22+C22*C22)</f>
        <v>2.4970629817647771</v>
      </c>
      <c r="I22" s="15">
        <f>G22/H22</f>
        <v>-3.0844556409853241</v>
      </c>
      <c r="J22" s="15">
        <f>IF(I22&gt;0,(1-NORMSDIST(I22)),(NORMSDIST(I22)))</f>
        <v>1.0196250882569947E-3</v>
      </c>
      <c r="K22" s="16" t="str">
        <f>IF(J22&lt;0.025,"Significativa","No significativa")</f>
        <v>Significativa</v>
      </c>
      <c r="M22" s="18" t="s">
        <v>19</v>
      </c>
      <c r="N22" s="14">
        <v>16.085079999999998</v>
      </c>
      <c r="O22" s="14">
        <v>2.4740100000000003</v>
      </c>
      <c r="P22" s="14">
        <v>15.546329999999999</v>
      </c>
      <c r="Q22" s="14">
        <v>1.1421000000000001</v>
      </c>
      <c r="R22" s="4"/>
      <c r="S22" s="14">
        <f t="shared" si="10"/>
        <v>-0.53874999999999851</v>
      </c>
      <c r="T22" s="15">
        <f t="shared" si="11"/>
        <v>2.7249069507232724</v>
      </c>
      <c r="U22" s="15">
        <f t="shared" si="12"/>
        <v>-0.19771317323587803</v>
      </c>
      <c r="V22" s="15">
        <f>IF(U22&gt;0,(1-NORMSDIST(U22)),(NORMSDIST(U22)))</f>
        <v>0.42163474120966005</v>
      </c>
      <c r="W22" s="16" t="str">
        <f t="shared" si="13"/>
        <v>No 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x14ac:dyDescent="0.25">
      <c r="A24" s="20" t="s">
        <v>21</v>
      </c>
      <c r="B24" s="14">
        <v>21.31081</v>
      </c>
      <c r="C24" s="14">
        <v>0.79740999999999995</v>
      </c>
      <c r="D24" s="14">
        <v>15.49694</v>
      </c>
      <c r="E24" s="14">
        <v>0.70511000000000001</v>
      </c>
      <c r="F24" s="4"/>
      <c r="G24" s="14">
        <f t="shared" ref="G24:G29" si="14">D24-B24</f>
        <v>-5.8138699999999996</v>
      </c>
      <c r="H24" s="15">
        <f t="shared" ref="H24:H29" si="15">SQRT(E24*E24+C24*C24)</f>
        <v>1.0644448413140062</v>
      </c>
      <c r="I24" s="15">
        <f t="shared" ref="I24:I29" si="16">G24/H24</f>
        <v>-5.4618800095109252</v>
      </c>
      <c r="J24" s="15">
        <f t="shared" ref="J24:J29" si="17">IF(I24&gt;0,(1-NORMSDIST(I24)),(NORMSDIST(I24)))</f>
        <v>2.3555924219989466E-8</v>
      </c>
      <c r="K24" s="16" t="str">
        <f t="shared" ref="K24:K29" si="18">IF(J24&lt;0.025,"Significativa","No significativa")</f>
        <v>Significativa</v>
      </c>
      <c r="M24" s="20" t="s">
        <v>21</v>
      </c>
      <c r="N24" s="14">
        <v>17.01689</v>
      </c>
      <c r="O24" s="14">
        <v>1.1608800000000001</v>
      </c>
      <c r="P24" s="14">
        <v>15.49694</v>
      </c>
      <c r="Q24" s="14">
        <v>0.70511000000000001</v>
      </c>
      <c r="R24" s="4"/>
      <c r="S24" s="14">
        <f t="shared" ref="S24:S29" si="19">P24-N24</f>
        <v>-1.5199499999999997</v>
      </c>
      <c r="T24" s="15">
        <f t="shared" ref="T24:T29" si="20">SQRT(Q24*Q24+O24*O24)</f>
        <v>1.3582424255264598</v>
      </c>
      <c r="U24" s="15">
        <f t="shared" ref="U24:U29" si="21">S24/T24</f>
        <v>-1.119056489058543</v>
      </c>
      <c r="V24" s="15">
        <f t="shared" ref="V24:V29" si="22">IF(U24&gt;0,(1-NORMSDIST(U24)),(NORMSDIST(U24)))</f>
        <v>0.13155802034064001</v>
      </c>
      <c r="W24" s="16" t="str">
        <f t="shared" ref="W24:W29" si="23">IF(V24&lt;0.025,"Significativa","No significativa")</f>
        <v>No significativa</v>
      </c>
    </row>
    <row r="25" spans="1:23" x14ac:dyDescent="0.25">
      <c r="A25" s="18" t="s">
        <v>22</v>
      </c>
      <c r="B25" s="14">
        <v>30.292760000000001</v>
      </c>
      <c r="C25" s="14">
        <v>1.58856</v>
      </c>
      <c r="D25" s="14">
        <v>24.729599999999998</v>
      </c>
      <c r="E25" s="14">
        <v>1.0049999999999999</v>
      </c>
      <c r="F25" s="4"/>
      <c r="G25" s="14">
        <f t="shared" si="14"/>
        <v>-5.5631600000000034</v>
      </c>
      <c r="H25" s="15">
        <f t="shared" si="15"/>
        <v>1.8797733569768456</v>
      </c>
      <c r="I25" s="15">
        <f t="shared" si="16"/>
        <v>-2.9594844396278615</v>
      </c>
      <c r="J25" s="15">
        <f t="shared" si="17"/>
        <v>1.5407713177451438E-3</v>
      </c>
      <c r="K25" s="16" t="str">
        <f t="shared" si="18"/>
        <v>Significativa</v>
      </c>
      <c r="M25" s="18" t="s">
        <v>22</v>
      </c>
      <c r="N25" s="14">
        <v>13.654530000000001</v>
      </c>
      <c r="O25" s="14">
        <v>0.77374999999999994</v>
      </c>
      <c r="P25" s="14">
        <v>24.729599999999998</v>
      </c>
      <c r="Q25" s="14">
        <v>1.0049999999999999</v>
      </c>
      <c r="R25" s="4"/>
      <c r="S25" s="14">
        <f t="shared" si="19"/>
        <v>11.075069999999997</v>
      </c>
      <c r="T25" s="15">
        <f t="shared" si="20"/>
        <v>1.2683509224579763</v>
      </c>
      <c r="U25" s="15">
        <f t="shared" si="21"/>
        <v>8.7318657667211514</v>
      </c>
      <c r="V25" s="15">
        <f t="shared" si="22"/>
        <v>0</v>
      </c>
      <c r="W25" s="16" t="str">
        <f t="shared" si="23"/>
        <v>Significativa</v>
      </c>
    </row>
    <row r="26" spans="1:23" x14ac:dyDescent="0.25">
      <c r="A26" s="18" t="s">
        <v>23</v>
      </c>
      <c r="B26" s="14">
        <v>66.192819999999998</v>
      </c>
      <c r="C26" s="14">
        <v>1.38567</v>
      </c>
      <c r="D26" s="14">
        <v>52.242049999999992</v>
      </c>
      <c r="E26" s="14">
        <v>1.3774700000000002</v>
      </c>
      <c r="F26" s="4"/>
      <c r="G26" s="14">
        <f t="shared" si="14"/>
        <v>-13.950770000000006</v>
      </c>
      <c r="H26" s="15">
        <f t="shared" si="15"/>
        <v>1.9538436349411383</v>
      </c>
      <c r="I26" s="15">
        <f t="shared" si="16"/>
        <v>-7.1401670791431</v>
      </c>
      <c r="J26" s="15">
        <f t="shared" si="17"/>
        <v>4.6608771227369752E-13</v>
      </c>
      <c r="K26" s="16" t="str">
        <f t="shared" si="18"/>
        <v>Significativa</v>
      </c>
      <c r="M26" s="18" t="s">
        <v>23</v>
      </c>
      <c r="N26" s="14">
        <v>56.075609999999998</v>
      </c>
      <c r="O26" s="14">
        <v>2.1749899999999998</v>
      </c>
      <c r="P26" s="14">
        <v>52.242049999999992</v>
      </c>
      <c r="Q26" s="14">
        <v>1.3774700000000002</v>
      </c>
      <c r="R26" s="4"/>
      <c r="S26" s="14">
        <f t="shared" si="19"/>
        <v>-3.8335600000000056</v>
      </c>
      <c r="T26" s="15">
        <f t="shared" si="20"/>
        <v>2.5744912314863297</v>
      </c>
      <c r="U26" s="15">
        <f t="shared" si="21"/>
        <v>-1.4890553726169726</v>
      </c>
      <c r="V26" s="15">
        <f t="shared" si="22"/>
        <v>6.8236394065575648E-2</v>
      </c>
      <c r="W26" s="16" t="str">
        <f t="shared" si="23"/>
        <v>No significativa</v>
      </c>
    </row>
    <row r="27" spans="1:23" x14ac:dyDescent="0.25">
      <c r="A27" s="18" t="s">
        <v>24</v>
      </c>
      <c r="B27" s="14">
        <v>12.440909999999999</v>
      </c>
      <c r="C27" s="14">
        <v>1.8093499999999998</v>
      </c>
      <c r="D27" s="14">
        <v>7.1628700000000007</v>
      </c>
      <c r="E27" s="14">
        <v>1.0564100000000001</v>
      </c>
      <c r="F27" s="4"/>
      <c r="G27" s="14">
        <f t="shared" si="14"/>
        <v>-5.2780399999999981</v>
      </c>
      <c r="H27" s="15">
        <f t="shared" si="15"/>
        <v>2.0951729070890543</v>
      </c>
      <c r="I27" s="15">
        <f t="shared" si="16"/>
        <v>-2.5191429223534043</v>
      </c>
      <c r="J27" s="15">
        <f t="shared" si="17"/>
        <v>5.8820447248915464E-3</v>
      </c>
      <c r="K27" s="16" t="str">
        <f t="shared" si="18"/>
        <v>Significativa</v>
      </c>
      <c r="M27" s="18" t="s">
        <v>24</v>
      </c>
      <c r="N27" s="14">
        <v>11.872810000000001</v>
      </c>
      <c r="O27" s="14">
        <v>2.4169800000000001</v>
      </c>
      <c r="P27" s="14">
        <v>7.1628700000000007</v>
      </c>
      <c r="Q27" s="14">
        <v>1.0564100000000001</v>
      </c>
      <c r="R27" s="4"/>
      <c r="S27" s="14">
        <f t="shared" si="19"/>
        <v>-4.7099400000000005</v>
      </c>
      <c r="T27" s="15">
        <f t="shared" si="20"/>
        <v>2.6377631448824213</v>
      </c>
      <c r="U27" s="15">
        <f t="shared" si="21"/>
        <v>-1.7855810932599663</v>
      </c>
      <c r="V27" s="15">
        <f t="shared" si="22"/>
        <v>3.7083555210007148E-2</v>
      </c>
      <c r="W27" s="16" t="str">
        <f t="shared" si="23"/>
        <v>No significativa</v>
      </c>
    </row>
    <row r="28" spans="1:23" x14ac:dyDescent="0.25">
      <c r="A28" s="18" t="s">
        <v>25</v>
      </c>
      <c r="B28" s="14">
        <v>14.944750000000001</v>
      </c>
      <c r="C28" s="14">
        <v>2.39906</v>
      </c>
      <c r="D28" s="14">
        <v>11.78931</v>
      </c>
      <c r="E28" s="14">
        <v>1.59439</v>
      </c>
      <c r="F28" s="4"/>
      <c r="G28" s="14">
        <f t="shared" si="14"/>
        <v>-3.1554400000000005</v>
      </c>
      <c r="H28" s="15">
        <f t="shared" si="15"/>
        <v>2.8805500092343475</v>
      </c>
      <c r="I28" s="15">
        <f t="shared" si="16"/>
        <v>-1.0954296887345896</v>
      </c>
      <c r="J28" s="15">
        <f t="shared" si="17"/>
        <v>0.13666421666775758</v>
      </c>
      <c r="K28" s="16" t="str">
        <f t="shared" si="18"/>
        <v>No significativa</v>
      </c>
      <c r="M28" s="18" t="s">
        <v>25</v>
      </c>
      <c r="N28" s="14">
        <v>17.228149999999999</v>
      </c>
      <c r="O28" s="14">
        <v>2.5538799999999999</v>
      </c>
      <c r="P28" s="14">
        <v>11.78931</v>
      </c>
      <c r="Q28" s="14">
        <v>1.59439</v>
      </c>
      <c r="R28" s="4"/>
      <c r="S28" s="14">
        <f t="shared" si="19"/>
        <v>-5.438839999999999</v>
      </c>
      <c r="T28" s="15">
        <f t="shared" si="20"/>
        <v>3.0107112990952816</v>
      </c>
      <c r="U28" s="15">
        <f t="shared" si="21"/>
        <v>-1.8064966912086091</v>
      </c>
      <c r="V28" s="15">
        <f t="shared" si="22"/>
        <v>3.5420395258170298E-2</v>
      </c>
      <c r="W28" s="16" t="str">
        <f t="shared" si="23"/>
        <v>No significativa</v>
      </c>
    </row>
    <row r="29" spans="1:23" x14ac:dyDescent="0.25">
      <c r="A29" s="18" t="s">
        <v>26</v>
      </c>
      <c r="B29" s="14">
        <v>18.1768</v>
      </c>
      <c r="C29" s="14">
        <v>1.6567700000000001</v>
      </c>
      <c r="D29" s="14">
        <v>19.79729</v>
      </c>
      <c r="E29" s="14">
        <v>1.25186</v>
      </c>
      <c r="F29" s="4"/>
      <c r="G29" s="14">
        <f t="shared" si="14"/>
        <v>1.6204900000000002</v>
      </c>
      <c r="H29" s="15">
        <f t="shared" si="15"/>
        <v>2.0765452782205354</v>
      </c>
      <c r="I29" s="15">
        <f t="shared" si="16"/>
        <v>0.78037787906491263</v>
      </c>
      <c r="J29" s="15">
        <f t="shared" si="17"/>
        <v>0.21758424226689854</v>
      </c>
      <c r="K29" s="16" t="str">
        <f t="shared" si="18"/>
        <v>No significativa</v>
      </c>
      <c r="M29" s="18" t="s">
        <v>26</v>
      </c>
      <c r="N29" s="14">
        <v>18.90401</v>
      </c>
      <c r="O29" s="14">
        <v>2.4639899999999999</v>
      </c>
      <c r="P29" s="14">
        <v>19.79729</v>
      </c>
      <c r="Q29" s="14">
        <v>1.25186</v>
      </c>
      <c r="R29" s="4"/>
      <c r="S29" s="14">
        <f t="shared" si="19"/>
        <v>0.89328000000000074</v>
      </c>
      <c r="T29" s="15">
        <f t="shared" si="20"/>
        <v>2.7637655797299452</v>
      </c>
      <c r="U29" s="15">
        <f t="shared" si="21"/>
        <v>0.3232112037835298</v>
      </c>
      <c r="V29" s="15">
        <f t="shared" si="22"/>
        <v>0.373267648252813</v>
      </c>
      <c r="W29" s="16" t="str">
        <f t="shared" si="23"/>
        <v>No 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14.428319999999999</v>
      </c>
      <c r="C31" s="14">
        <v>1.24756</v>
      </c>
      <c r="D31" s="14">
        <v>11.710610000000001</v>
      </c>
      <c r="E31" s="14">
        <v>1.0528</v>
      </c>
      <c r="F31" s="22"/>
      <c r="G31" s="14">
        <f t="shared" ref="G31:G32" si="24">D31-B31</f>
        <v>-2.7177099999999985</v>
      </c>
      <c r="H31" s="15">
        <f t="shared" ref="H31:H32" si="25">SQRT(E31*E31+C31*C31)</f>
        <v>1.6324196132122404</v>
      </c>
      <c r="I31" s="15">
        <f t="shared" ref="I31:I32" si="26">G31/H31</f>
        <v>-1.6648354246688735</v>
      </c>
      <c r="J31" s="15">
        <f>IF(I31&gt;0,(1-NORMSDIST(I31)),(NORMSDIST(I31)))</f>
        <v>4.7972797160959972E-2</v>
      </c>
      <c r="K31" s="16" t="str">
        <f t="shared" ref="K31:K32" si="27">IF(J31&lt;0.025,"Significativa","No significativa")</f>
        <v>No significativa</v>
      </c>
      <c r="M31" s="21" t="s">
        <v>28</v>
      </c>
      <c r="N31" s="14">
        <v>13.461770000000001</v>
      </c>
      <c r="O31" s="14">
        <v>2.3121</v>
      </c>
      <c r="P31" s="14">
        <v>11.710610000000001</v>
      </c>
      <c r="Q31" s="14">
        <v>1.0528</v>
      </c>
      <c r="R31" s="22"/>
      <c r="S31" s="14">
        <f t="shared" ref="S31:S32" si="28">P31-N31</f>
        <v>-1.7511600000000005</v>
      </c>
      <c r="T31" s="15">
        <f t="shared" ref="T31:T32" si="29">SQRT(Q31*Q31+O31*O31)</f>
        <v>2.5405106278069374</v>
      </c>
      <c r="U31" s="15">
        <f t="shared" ref="U31:U32" si="30">S31/T31</f>
        <v>-0.68929449884319771</v>
      </c>
      <c r="V31" s="15">
        <f>IF(U31&gt;0,(1-NORMSDIST(U31)),(NORMSDIST(U31)))</f>
        <v>0.24531897955584897</v>
      </c>
      <c r="W31" s="16" t="str">
        <f t="shared" ref="W31:W32" si="31">IF(V31&lt;0.025,"Significativa","No significativa")</f>
        <v>No significativa</v>
      </c>
    </row>
    <row r="32" spans="1:23" ht="15" customHeight="1" thickBot="1" x14ac:dyDescent="0.3">
      <c r="A32" s="23" t="s">
        <v>29</v>
      </c>
      <c r="B32" s="30">
        <v>46.14385</v>
      </c>
      <c r="C32" s="30">
        <v>1.8316599999999998</v>
      </c>
      <c r="D32" s="30">
        <v>36.708030000000001</v>
      </c>
      <c r="E32" s="30">
        <v>1.61775</v>
      </c>
      <c r="F32" s="24"/>
      <c r="G32" s="30">
        <f t="shared" si="24"/>
        <v>-9.4358199999999997</v>
      </c>
      <c r="H32" s="25">
        <f t="shared" si="25"/>
        <v>2.4437866965224275</v>
      </c>
      <c r="I32" s="25">
        <f t="shared" si="26"/>
        <v>-3.8611471342516999</v>
      </c>
      <c r="J32" s="25">
        <f>IF(I32&gt;0,(1-NORMSDIST(I32)),(NORMSDIST(I32)))</f>
        <v>5.6427956590146627E-5</v>
      </c>
      <c r="K32" s="26" t="str">
        <f t="shared" si="27"/>
        <v>Significativa</v>
      </c>
      <c r="M32" s="23" t="s">
        <v>29</v>
      </c>
      <c r="N32" s="30">
        <v>39.667310000000001</v>
      </c>
      <c r="O32" s="30">
        <v>2.3153000000000001</v>
      </c>
      <c r="P32" s="30">
        <v>36.708030000000001</v>
      </c>
      <c r="Q32" s="30">
        <v>1.61775</v>
      </c>
      <c r="R32" s="24"/>
      <c r="S32" s="30">
        <f t="shared" si="28"/>
        <v>-2.9592799999999997</v>
      </c>
      <c r="T32" s="25">
        <f t="shared" si="29"/>
        <v>2.8244874141160552</v>
      </c>
      <c r="U32" s="25">
        <f t="shared" si="30"/>
        <v>-1.0477228488292376</v>
      </c>
      <c r="V32" s="25">
        <f>IF(U32&gt;0,(1-NORMSDIST(U32)),(NORMSDIST(U32)))</f>
        <v>0.14738315862585469</v>
      </c>
      <c r="W32" s="26" t="str">
        <f t="shared" si="31"/>
        <v>No 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S12:T12"/>
    <mergeCell ref="V11:V12"/>
    <mergeCell ref="W11:W12"/>
    <mergeCell ref="M9:W9"/>
    <mergeCell ref="M10:W10"/>
    <mergeCell ref="M11:M12"/>
    <mergeCell ref="N11:O11"/>
    <mergeCell ref="P11:Q11"/>
    <mergeCell ref="U11:U12"/>
    <mergeCell ref="I11:I12"/>
    <mergeCell ref="J11:J12"/>
    <mergeCell ref="K11:K12"/>
    <mergeCell ref="G12:H12"/>
    <mergeCell ref="A9:K9"/>
    <mergeCell ref="A10:K10"/>
    <mergeCell ref="A11:A12"/>
    <mergeCell ref="B11:C11"/>
    <mergeCell ref="D11:E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19A2C-C0F3-4C38-8D7C-8294E27CBEF6}">
  <dimension ref="A9:W34"/>
  <sheetViews>
    <sheetView workbookViewId="0">
      <selection activeCell="X1" sqref="X1:AI1048576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customHeight="1" x14ac:dyDescent="0.25">
      <c r="A9" s="54" t="s">
        <v>37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38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ht="15" customHeight="1" x14ac:dyDescent="0.25">
      <c r="A14" s="13" t="s">
        <v>11</v>
      </c>
      <c r="B14" s="14">
        <v>21.365400000000001</v>
      </c>
      <c r="C14" s="14">
        <v>1.3563700000000001</v>
      </c>
      <c r="D14" s="14">
        <v>19.697490000000002</v>
      </c>
      <c r="E14" s="14">
        <v>1.0109900000000001</v>
      </c>
      <c r="F14" s="4"/>
      <c r="G14" s="14">
        <f>D14-B14</f>
        <v>-1.6679099999999991</v>
      </c>
      <c r="H14" s="15">
        <f>SQRT(E14*E14+C14*C14)</f>
        <v>1.6916974779788496</v>
      </c>
      <c r="I14" s="15">
        <f>G14/H14</f>
        <v>-0.9859386927695426</v>
      </c>
      <c r="J14" s="15">
        <f>IF(I14&gt;0,(1-NORMSDIST(I14)),(NORMSDIST(I14)))</f>
        <v>0.16208159910871406</v>
      </c>
      <c r="K14" s="16" t="str">
        <f>IF(J14&lt;0.025,"Significativa","No significativa")</f>
        <v>No significativa</v>
      </c>
      <c r="M14" s="13" t="s">
        <v>11</v>
      </c>
      <c r="N14" s="14">
        <v>14.527049999999999</v>
      </c>
      <c r="O14" s="14">
        <v>0.91672999999999993</v>
      </c>
      <c r="P14" s="14">
        <v>19.697490000000002</v>
      </c>
      <c r="Q14" s="14">
        <v>1.0109900000000001</v>
      </c>
      <c r="R14" s="4"/>
      <c r="S14" s="14">
        <f>P14-N14</f>
        <v>5.1704400000000028</v>
      </c>
      <c r="T14" s="15">
        <f>SQRT(Q14*Q14+O14*O14)</f>
        <v>1.3647324547324284</v>
      </c>
      <c r="U14" s="15">
        <f>S14/T14</f>
        <v>3.7886107141884651</v>
      </c>
      <c r="V14" s="15">
        <f>IF(U14&gt;0,(1-NORMSDIST(U14)),(NORMSDIST(U14)))</f>
        <v>7.5746039266633147E-5</v>
      </c>
      <c r="W14" s="16" t="str">
        <f>IF(V14&lt;0.025,"Significativa","No significativa")</f>
        <v>Significativa</v>
      </c>
    </row>
    <row r="15" spans="1:23" ht="15" customHeight="1" x14ac:dyDescent="0.25">
      <c r="A15" s="13" t="s">
        <v>12</v>
      </c>
      <c r="B15" s="14">
        <v>18.767420000000001</v>
      </c>
      <c r="C15" s="14">
        <v>1.28911</v>
      </c>
      <c r="D15" s="14">
        <v>18.240159999999999</v>
      </c>
      <c r="E15" s="14">
        <v>0.91076999999999997</v>
      </c>
      <c r="F15" s="4"/>
      <c r="G15" s="14">
        <f t="shared" ref="G15:G19" si="0">D15-B15</f>
        <v>-0.52726000000000184</v>
      </c>
      <c r="H15" s="15">
        <f t="shared" ref="H15:H19" si="1">SQRT(E15*E15+C15*C15)</f>
        <v>1.5783873368093142</v>
      </c>
      <c r="I15" s="15">
        <f t="shared" ref="I15:I19" si="2">G15/H15</f>
        <v>-0.3340498163561359</v>
      </c>
      <c r="J15" s="15">
        <f t="shared" ref="J15:J19" si="3">IF(I15&gt;0,(1-NORMSDIST(I15)),(NORMSDIST(I15)))</f>
        <v>0.36917098381473989</v>
      </c>
      <c r="K15" s="16" t="str">
        <f t="shared" ref="K15:K19" si="4">IF(J15&lt;0.025,"Significativa","No significativa")</f>
        <v>No significativa</v>
      </c>
      <c r="M15" s="13" t="s">
        <v>12</v>
      </c>
      <c r="N15" s="14">
        <v>14.052860000000001</v>
      </c>
      <c r="O15" s="14">
        <v>0.85965999999999998</v>
      </c>
      <c r="P15" s="14">
        <v>18.240159999999999</v>
      </c>
      <c r="Q15" s="14">
        <v>0.91076999999999997</v>
      </c>
      <c r="R15" s="4"/>
      <c r="S15" s="14">
        <f t="shared" ref="S15:S19" si="5">P15-N15</f>
        <v>4.1872999999999987</v>
      </c>
      <c r="T15" s="15">
        <f t="shared" ref="T15:T19" si="6">SQRT(Q15*Q15+O15*O15)</f>
        <v>1.2524046105392617</v>
      </c>
      <c r="U15" s="15">
        <f t="shared" ref="U15:U19" si="7">S15/T15</f>
        <v>3.3434083240854782</v>
      </c>
      <c r="V15" s="15">
        <f t="shared" ref="V15:V19" si="8">IF(U15&gt;0,(1-NORMSDIST(U15)),(NORMSDIST(U15)))</f>
        <v>4.1378016263449169E-4</v>
      </c>
      <c r="W15" s="16" t="str">
        <f t="shared" ref="W15:W19" si="9">IF(V15&lt;0.025,"Significativa","No significativa")</f>
        <v>Significativa</v>
      </c>
    </row>
    <row r="16" spans="1:23" ht="15" customHeight="1" x14ac:dyDescent="0.25">
      <c r="A16" s="13" t="s">
        <v>13</v>
      </c>
      <c r="B16" s="31">
        <v>2.5979800000000002</v>
      </c>
      <c r="C16" s="14">
        <v>0.53739000000000003</v>
      </c>
      <c r="D16" s="14">
        <v>1.45733</v>
      </c>
      <c r="E16" s="14">
        <v>0.31394</v>
      </c>
      <c r="F16" s="4"/>
      <c r="G16" s="14">
        <f t="shared" si="0"/>
        <v>-1.1406500000000002</v>
      </c>
      <c r="H16" s="15">
        <f t="shared" si="1"/>
        <v>0.62237154152483554</v>
      </c>
      <c r="I16" s="15">
        <f t="shared" si="2"/>
        <v>-1.8327476818836566</v>
      </c>
      <c r="J16" s="15">
        <f t="shared" si="3"/>
        <v>3.3420051395182081E-2</v>
      </c>
      <c r="K16" s="16" t="str">
        <f t="shared" si="4"/>
        <v>No significativa</v>
      </c>
      <c r="M16" s="13" t="s">
        <v>13</v>
      </c>
      <c r="N16" s="31">
        <v>0.47419</v>
      </c>
      <c r="O16" s="14">
        <v>0.16188000000000002</v>
      </c>
      <c r="P16" s="14">
        <v>1.45733</v>
      </c>
      <c r="Q16" s="14">
        <v>0.31394</v>
      </c>
      <c r="R16" s="4"/>
      <c r="S16" s="14">
        <f t="shared" si="5"/>
        <v>0.98314000000000001</v>
      </c>
      <c r="T16" s="15">
        <f t="shared" si="6"/>
        <v>0.35321871128240079</v>
      </c>
      <c r="U16" s="15">
        <f t="shared" si="7"/>
        <v>2.7833746304962106</v>
      </c>
      <c r="V16" s="15">
        <f t="shared" si="8"/>
        <v>2.6898324423400011E-3</v>
      </c>
      <c r="W16" s="16" t="str">
        <f t="shared" si="9"/>
        <v>Significativa</v>
      </c>
    </row>
    <row r="17" spans="1:23" ht="15" customHeight="1" x14ac:dyDescent="0.25">
      <c r="A17" s="13" t="s">
        <v>14</v>
      </c>
      <c r="B17" s="14">
        <v>36.489100000000001</v>
      </c>
      <c r="C17" s="14">
        <v>1.5223599999999999</v>
      </c>
      <c r="D17" s="14">
        <v>33.320489999999999</v>
      </c>
      <c r="E17" s="14">
        <v>1.03796</v>
      </c>
      <c r="F17" s="4"/>
      <c r="G17" s="14">
        <f t="shared" si="0"/>
        <v>-3.168610000000001</v>
      </c>
      <c r="H17" s="15">
        <f t="shared" si="1"/>
        <v>1.8425365481314067</v>
      </c>
      <c r="I17" s="15">
        <f t="shared" si="2"/>
        <v>-1.7196999447383667</v>
      </c>
      <c r="J17" s="15">
        <f t="shared" si="3"/>
        <v>4.2743498945642174E-2</v>
      </c>
      <c r="K17" s="16" t="str">
        <f t="shared" si="4"/>
        <v>No significativa</v>
      </c>
      <c r="M17" s="13" t="s">
        <v>14</v>
      </c>
      <c r="N17" s="14">
        <v>34.441670000000002</v>
      </c>
      <c r="O17" s="14">
        <v>1.16672</v>
      </c>
      <c r="P17" s="14">
        <v>33.320489999999999</v>
      </c>
      <c r="Q17" s="14">
        <v>1.03796</v>
      </c>
      <c r="R17" s="4"/>
      <c r="S17" s="14">
        <f t="shared" si="5"/>
        <v>-1.1211800000000025</v>
      </c>
      <c r="T17" s="15">
        <f t="shared" si="6"/>
        <v>1.5616006275613492</v>
      </c>
      <c r="U17" s="15">
        <f t="shared" si="7"/>
        <v>-0.7179684614694839</v>
      </c>
      <c r="V17" s="15">
        <f t="shared" si="8"/>
        <v>0.23638836666625732</v>
      </c>
      <c r="W17" s="16" t="str">
        <f t="shared" si="9"/>
        <v>No significativa</v>
      </c>
    </row>
    <row r="18" spans="1:23" ht="15" customHeight="1" x14ac:dyDescent="0.25">
      <c r="A18" s="13" t="s">
        <v>15</v>
      </c>
      <c r="B18" s="14">
        <v>7.2300800000000001</v>
      </c>
      <c r="C18" s="14">
        <v>0.72602999999999995</v>
      </c>
      <c r="D18" s="14">
        <v>6.37364</v>
      </c>
      <c r="E18" s="14">
        <v>0.52922000000000002</v>
      </c>
      <c r="F18" s="4"/>
      <c r="G18" s="14">
        <f t="shared" si="0"/>
        <v>-0.85644000000000009</v>
      </c>
      <c r="H18" s="15">
        <f t="shared" si="1"/>
        <v>0.8984394076953659</v>
      </c>
      <c r="I18" s="15">
        <f t="shared" si="2"/>
        <v>-0.95325293243414078</v>
      </c>
      <c r="J18" s="15">
        <f t="shared" si="3"/>
        <v>0.17023096646643462</v>
      </c>
      <c r="K18" s="16" t="str">
        <f t="shared" si="4"/>
        <v>No significativa</v>
      </c>
      <c r="M18" s="13" t="s">
        <v>15</v>
      </c>
      <c r="N18" s="14">
        <v>6.578920000000001</v>
      </c>
      <c r="O18" s="14">
        <v>0.58889999999999998</v>
      </c>
      <c r="P18" s="14">
        <v>6.37364</v>
      </c>
      <c r="Q18" s="14">
        <v>0.52922000000000002</v>
      </c>
      <c r="R18" s="4"/>
      <c r="S18" s="14">
        <f t="shared" si="5"/>
        <v>-0.20528000000000102</v>
      </c>
      <c r="T18" s="15">
        <f t="shared" si="6"/>
        <v>0.79175565574235085</v>
      </c>
      <c r="U18" s="15">
        <f t="shared" si="7"/>
        <v>-0.25927190858842719</v>
      </c>
      <c r="V18" s="15">
        <f t="shared" si="8"/>
        <v>0.39771272610325326</v>
      </c>
      <c r="W18" s="16" t="str">
        <f t="shared" si="9"/>
        <v>No significativa</v>
      </c>
    </row>
    <row r="19" spans="1:23" ht="15" customHeight="1" x14ac:dyDescent="0.25">
      <c r="A19" s="13" t="s">
        <v>16</v>
      </c>
      <c r="B19" s="14">
        <v>34.915420000000005</v>
      </c>
      <c r="C19" s="14">
        <v>1.2422</v>
      </c>
      <c r="D19" s="14">
        <v>40.608379999999997</v>
      </c>
      <c r="E19" s="14">
        <v>1.0413000000000001</v>
      </c>
      <c r="F19" s="4"/>
      <c r="G19" s="14">
        <f t="shared" si="0"/>
        <v>5.6929599999999922</v>
      </c>
      <c r="H19" s="15">
        <f t="shared" si="1"/>
        <v>1.6209153370858085</v>
      </c>
      <c r="I19" s="15">
        <f t="shared" si="2"/>
        <v>3.5121883726729255</v>
      </c>
      <c r="J19" s="15">
        <f t="shared" si="3"/>
        <v>2.2221643479181097E-4</v>
      </c>
      <c r="K19" s="16" t="str">
        <f t="shared" si="4"/>
        <v>Significativa</v>
      </c>
      <c r="M19" s="13" t="s">
        <v>16</v>
      </c>
      <c r="N19" s="14">
        <v>44.452359999999999</v>
      </c>
      <c r="O19" s="14">
        <v>1.1650100000000001</v>
      </c>
      <c r="P19" s="14">
        <v>40.608379999999997</v>
      </c>
      <c r="Q19" s="14">
        <v>1.0413000000000001</v>
      </c>
      <c r="R19" s="4"/>
      <c r="S19" s="14">
        <f t="shared" si="5"/>
        <v>-3.843980000000002</v>
      </c>
      <c r="T19" s="15">
        <f t="shared" si="6"/>
        <v>1.5625472761167902</v>
      </c>
      <c r="U19" s="15">
        <f t="shared" si="7"/>
        <v>-2.4600727662800583</v>
      </c>
      <c r="V19" s="15">
        <f t="shared" si="8"/>
        <v>6.9454424304273834E-3</v>
      </c>
      <c r="W19" s="16" t="str">
        <f t="shared" si="9"/>
        <v>Significativa</v>
      </c>
    </row>
    <row r="20" spans="1:23" ht="15" customHeight="1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57.854499999999994</v>
      </c>
      <c r="C21" s="14">
        <v>1.2558800000000001</v>
      </c>
      <c r="D21" s="14">
        <v>53.017979999999994</v>
      </c>
      <c r="E21" s="14">
        <v>1.06429</v>
      </c>
      <c r="F21" s="4"/>
      <c r="G21" s="14">
        <f t="shared" ref="G21:G22" si="10">D21-B21</f>
        <v>-4.8365200000000002</v>
      </c>
      <c r="H21" s="15">
        <f t="shared" ref="H21:H22" si="11">SQRT(E21*E21+C21*C21)</f>
        <v>1.6461919020879674</v>
      </c>
      <c r="I21" s="15">
        <f t="shared" ref="I21:I22" si="12">G21/H21</f>
        <v>-2.9380049761303901</v>
      </c>
      <c r="J21" s="15">
        <f>IF(I21&gt;0,(1-NORMSDIST(I21)),(NORMSDIST(I21)))</f>
        <v>1.6516586079491744E-3</v>
      </c>
      <c r="K21" s="16" t="str">
        <f t="shared" ref="K21:K22" si="13">IF(J21&lt;0.025,"Significativa","No significativa")</f>
        <v>Significativa</v>
      </c>
      <c r="M21" s="18" t="s">
        <v>18</v>
      </c>
      <c r="N21" s="14">
        <v>48.968719999999998</v>
      </c>
      <c r="O21" s="14">
        <v>1.1407799999999999</v>
      </c>
      <c r="P21" s="14">
        <v>53.017979999999994</v>
      </c>
      <c r="Q21" s="14">
        <v>1.06429</v>
      </c>
      <c r="R21" s="4"/>
      <c r="S21" s="14">
        <f t="shared" ref="S21:S22" si="14">P21-N21</f>
        <v>4.0492599999999968</v>
      </c>
      <c r="T21" s="15">
        <f t="shared" ref="T21:T22" si="15">SQRT(Q21*Q21+O21*O21)</f>
        <v>1.5601577524404382</v>
      </c>
      <c r="U21" s="15">
        <f t="shared" ref="U21:U22" si="16">S21/T21</f>
        <v>2.5954170298907542</v>
      </c>
      <c r="V21" s="15">
        <f>IF(U21&gt;0,(1-NORMSDIST(U21)),(NORMSDIST(U21)))</f>
        <v>4.7238105022308075E-3</v>
      </c>
      <c r="W21" s="16" t="str">
        <f t="shared" ref="W21:W22" si="17">IF(V21&lt;0.025,"Significativa","No significativa")</f>
        <v>Significativa</v>
      </c>
    </row>
    <row r="22" spans="1:23" x14ac:dyDescent="0.25">
      <c r="A22" s="18" t="s">
        <v>19</v>
      </c>
      <c r="B22" s="14">
        <v>12.190670000000001</v>
      </c>
      <c r="C22" s="14">
        <v>0.95034000000000007</v>
      </c>
      <c r="D22" s="14">
        <v>8.09802</v>
      </c>
      <c r="E22" s="14">
        <v>0.60851</v>
      </c>
      <c r="F22" s="4"/>
      <c r="G22" s="14">
        <f t="shared" si="10"/>
        <v>-4.0926500000000008</v>
      </c>
      <c r="H22" s="15">
        <f t="shared" si="11"/>
        <v>1.1284637945897955</v>
      </c>
      <c r="I22" s="15">
        <f t="shared" si="12"/>
        <v>-3.6267446236391727</v>
      </c>
      <c r="J22" s="15">
        <f>IF(I22&gt;0,(1-NORMSDIST(I22)),(NORMSDIST(I22)))</f>
        <v>1.4350845212475521E-4</v>
      </c>
      <c r="K22" s="16" t="str">
        <f t="shared" si="13"/>
        <v>Significativa</v>
      </c>
      <c r="M22" s="18" t="s">
        <v>19</v>
      </c>
      <c r="N22" s="14">
        <v>4.3741000000000003</v>
      </c>
      <c r="O22" s="14">
        <v>0.38886999999999999</v>
      </c>
      <c r="P22" s="14">
        <v>8.09802</v>
      </c>
      <c r="Q22" s="14">
        <v>0.60851</v>
      </c>
      <c r="R22" s="4"/>
      <c r="S22" s="14">
        <f t="shared" si="14"/>
        <v>3.7239199999999997</v>
      </c>
      <c r="T22" s="15">
        <f t="shared" si="15"/>
        <v>0.72215254413454777</v>
      </c>
      <c r="U22" s="15">
        <f t="shared" si="16"/>
        <v>5.1566944273011908</v>
      </c>
      <c r="V22" s="15">
        <f>IF(U22&gt;0,(1-NORMSDIST(U22)),(NORMSDIST(U22)))</f>
        <v>1.2567374030325595E-7</v>
      </c>
      <c r="W22" s="16" t="str">
        <f t="shared" si="17"/>
        <v>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ht="25.5" customHeight="1" x14ac:dyDescent="0.25">
      <c r="A24" s="20" t="s">
        <v>21</v>
      </c>
      <c r="B24" s="14">
        <v>15.002979999999999</v>
      </c>
      <c r="C24" s="14">
        <v>0.78025999999999995</v>
      </c>
      <c r="D24" s="14">
        <v>10.598420000000001</v>
      </c>
      <c r="E24" s="14">
        <v>0.46147999999999995</v>
      </c>
      <c r="F24" s="4"/>
      <c r="G24" s="14">
        <f t="shared" ref="G24:G29" si="18">D24-B24</f>
        <v>-4.4045599999999983</v>
      </c>
      <c r="H24" s="15">
        <f t="shared" ref="H24:H29" si="19">SQRT(E24*E24+C24*C24)</f>
        <v>0.90651500704621535</v>
      </c>
      <c r="I24" s="15">
        <f t="shared" ref="I24:I29" si="20">G24/H24</f>
        <v>-4.8587833248914407</v>
      </c>
      <c r="J24" s="15">
        <f t="shared" ref="J24:J29" si="21">IF(I24&gt;0,(1-NORMSDIST(I24)),(NORMSDIST(I24)))</f>
        <v>5.9054651188658785E-7</v>
      </c>
      <c r="K24" s="16" t="str">
        <f t="shared" ref="K24:K29" si="22">IF(J24&lt;0.025,"Significativa","No significativa")</f>
        <v>Significativa</v>
      </c>
      <c r="M24" s="20" t="s">
        <v>21</v>
      </c>
      <c r="N24" s="14">
        <v>10.11281</v>
      </c>
      <c r="O24" s="14">
        <v>0.48259000000000002</v>
      </c>
      <c r="P24" s="14">
        <v>10.598420000000001</v>
      </c>
      <c r="Q24" s="14">
        <v>0.46147999999999995</v>
      </c>
      <c r="R24" s="4"/>
      <c r="S24" s="14">
        <f t="shared" ref="S24:S29" si="23">P24-N24</f>
        <v>0.48561000000000121</v>
      </c>
      <c r="T24" s="15">
        <f t="shared" ref="T24:T29" si="24">SQRT(Q24*Q24+O24*O24)</f>
        <v>0.66772516689128913</v>
      </c>
      <c r="U24" s="15">
        <f t="shared" ref="U24:U29" si="25">S24/T24</f>
        <v>0.72726029222598154</v>
      </c>
      <c r="V24" s="15">
        <f t="shared" ref="V24:V29" si="26">IF(U24&gt;0,(1-NORMSDIST(U24)),(NORMSDIST(U24)))</f>
        <v>0.23353325892574373</v>
      </c>
      <c r="W24" s="16" t="str">
        <f t="shared" ref="W24:W29" si="27">IF(V24&lt;0.025,"Significativa","No significativa")</f>
        <v>No significativa</v>
      </c>
    </row>
    <row r="25" spans="1:23" x14ac:dyDescent="0.25">
      <c r="A25" s="18" t="s">
        <v>22</v>
      </c>
      <c r="B25" s="14">
        <v>24.81542</v>
      </c>
      <c r="C25" s="14">
        <v>1.1154900000000001</v>
      </c>
      <c r="D25" s="14">
        <v>21.524090000000001</v>
      </c>
      <c r="E25" s="14">
        <v>0.86417999999999995</v>
      </c>
      <c r="F25" s="4"/>
      <c r="G25" s="14">
        <f t="shared" si="18"/>
        <v>-3.2913299999999985</v>
      </c>
      <c r="H25" s="15">
        <f t="shared" si="19"/>
        <v>1.4110722917341973</v>
      </c>
      <c r="I25" s="15">
        <f t="shared" si="20"/>
        <v>-2.3325027493488504</v>
      </c>
      <c r="J25" s="15">
        <f t="shared" si="21"/>
        <v>9.8371292255383068E-3</v>
      </c>
      <c r="K25" s="16" t="str">
        <f t="shared" si="22"/>
        <v>Significativa</v>
      </c>
      <c r="M25" s="18" t="s">
        <v>22</v>
      </c>
      <c r="N25" s="14">
        <v>12.959780000000002</v>
      </c>
      <c r="O25" s="14">
        <v>0.68120999999999998</v>
      </c>
      <c r="P25" s="14">
        <v>21.524090000000001</v>
      </c>
      <c r="Q25" s="14">
        <v>0.86417999999999995</v>
      </c>
      <c r="R25" s="4"/>
      <c r="S25" s="14">
        <f t="shared" si="23"/>
        <v>8.564309999999999</v>
      </c>
      <c r="T25" s="15">
        <f t="shared" si="24"/>
        <v>1.1003881753726727</v>
      </c>
      <c r="U25" s="15">
        <f t="shared" si="25"/>
        <v>7.7829898500131476</v>
      </c>
      <c r="V25" s="15">
        <f t="shared" si="26"/>
        <v>3.5527136788005009E-15</v>
      </c>
      <c r="W25" s="16" t="str">
        <f t="shared" si="27"/>
        <v>Significativa</v>
      </c>
    </row>
    <row r="26" spans="1:23" x14ac:dyDescent="0.25">
      <c r="A26" s="18" t="s">
        <v>23</v>
      </c>
      <c r="B26" s="14">
        <v>44.296970000000002</v>
      </c>
      <c r="C26" s="14">
        <v>1.28139</v>
      </c>
      <c r="D26" s="14">
        <v>38.93488</v>
      </c>
      <c r="E26" s="14">
        <v>0.95691999999999999</v>
      </c>
      <c r="F26" s="4"/>
      <c r="G26" s="14">
        <f t="shared" si="18"/>
        <v>-5.362090000000002</v>
      </c>
      <c r="H26" s="15">
        <f t="shared" si="19"/>
        <v>1.5992674005618948</v>
      </c>
      <c r="I26" s="15">
        <f t="shared" si="20"/>
        <v>-3.3528414310927976</v>
      </c>
      <c r="J26" s="15">
        <f t="shared" si="21"/>
        <v>3.9993258903753986E-4</v>
      </c>
      <c r="K26" s="16" t="str">
        <f t="shared" si="22"/>
        <v>Significativa</v>
      </c>
      <c r="M26" s="18" t="s">
        <v>23</v>
      </c>
      <c r="N26" s="14">
        <v>34.573050000000002</v>
      </c>
      <c r="O26" s="14">
        <v>1.16418</v>
      </c>
      <c r="P26" s="14">
        <v>38.93488</v>
      </c>
      <c r="Q26" s="14">
        <v>0.95691999999999999</v>
      </c>
      <c r="R26" s="4"/>
      <c r="S26" s="14">
        <f t="shared" si="23"/>
        <v>4.3618299999999977</v>
      </c>
      <c r="T26" s="15">
        <f t="shared" si="24"/>
        <v>1.5069873784474772</v>
      </c>
      <c r="U26" s="15">
        <f t="shared" si="25"/>
        <v>2.8944038034967656</v>
      </c>
      <c r="V26" s="15">
        <f t="shared" si="26"/>
        <v>1.8993964397088225E-3</v>
      </c>
      <c r="W26" s="16" t="str">
        <f t="shared" si="27"/>
        <v>Significativa</v>
      </c>
    </row>
    <row r="27" spans="1:23" x14ac:dyDescent="0.25">
      <c r="A27" s="18" t="s">
        <v>24</v>
      </c>
      <c r="B27" s="14">
        <v>8.3156300000000005</v>
      </c>
      <c r="C27" s="14">
        <v>1.6689499999999999</v>
      </c>
      <c r="D27" s="14">
        <v>3.9118600000000003</v>
      </c>
      <c r="E27" s="14">
        <v>0.58405999999999991</v>
      </c>
      <c r="F27" s="4"/>
      <c r="G27" s="14">
        <f t="shared" si="18"/>
        <v>-4.4037699999999997</v>
      </c>
      <c r="H27" s="15">
        <f t="shared" si="19"/>
        <v>1.7681968742478875</v>
      </c>
      <c r="I27" s="15">
        <f t="shared" si="20"/>
        <v>-2.4905428033137813</v>
      </c>
      <c r="J27" s="15">
        <f t="shared" si="21"/>
        <v>6.3774065641240066E-3</v>
      </c>
      <c r="K27" s="16" t="str">
        <f t="shared" si="22"/>
        <v>Significativa</v>
      </c>
      <c r="M27" s="18" t="s">
        <v>24</v>
      </c>
      <c r="N27" s="14">
        <v>3.0580500000000002</v>
      </c>
      <c r="O27" s="14">
        <v>0.52258000000000004</v>
      </c>
      <c r="P27" s="14">
        <v>3.9118600000000003</v>
      </c>
      <c r="Q27" s="14">
        <v>0.58405999999999991</v>
      </c>
      <c r="R27" s="4"/>
      <c r="S27" s="14">
        <f t="shared" si="23"/>
        <v>0.85381000000000018</v>
      </c>
      <c r="T27" s="15">
        <f t="shared" si="24"/>
        <v>0.78371929923921102</v>
      </c>
      <c r="U27" s="15">
        <f t="shared" si="25"/>
        <v>1.0894334244784187</v>
      </c>
      <c r="V27" s="15">
        <f t="shared" si="26"/>
        <v>0.13798139925901076</v>
      </c>
      <c r="W27" s="16" t="str">
        <f t="shared" si="27"/>
        <v>No significativa</v>
      </c>
    </row>
    <row r="28" spans="1:23" x14ac:dyDescent="0.25">
      <c r="A28" s="18" t="s">
        <v>25</v>
      </c>
      <c r="B28" s="14">
        <v>8.5177399999999999</v>
      </c>
      <c r="C28" s="14">
        <v>1.9350800000000001</v>
      </c>
      <c r="D28" s="14">
        <v>2.3425600000000002</v>
      </c>
      <c r="E28" s="14">
        <v>0.33315</v>
      </c>
      <c r="F28" s="4"/>
      <c r="G28" s="14">
        <f t="shared" si="18"/>
        <v>-6.1751799999999992</v>
      </c>
      <c r="H28" s="15">
        <f t="shared" si="19"/>
        <v>1.9635487080538645</v>
      </c>
      <c r="I28" s="15">
        <f t="shared" si="20"/>
        <v>-3.1449079794513559</v>
      </c>
      <c r="J28" s="15">
        <f t="shared" si="21"/>
        <v>8.3069539540258838E-4</v>
      </c>
      <c r="K28" s="16" t="str">
        <f t="shared" si="22"/>
        <v>Significativa</v>
      </c>
      <c r="M28" s="18" t="s">
        <v>25</v>
      </c>
      <c r="N28" s="14">
        <v>2.3861500000000002</v>
      </c>
      <c r="O28" s="14">
        <v>0.30329</v>
      </c>
      <c r="P28" s="14">
        <v>2.3425600000000002</v>
      </c>
      <c r="Q28" s="14">
        <v>0.33315</v>
      </c>
      <c r="R28" s="4"/>
      <c r="S28" s="14">
        <f t="shared" si="23"/>
        <v>-4.3590000000000018E-2</v>
      </c>
      <c r="T28" s="15">
        <f t="shared" si="24"/>
        <v>0.45052607760261781</v>
      </c>
      <c r="U28" s="15">
        <f t="shared" si="25"/>
        <v>-9.6753555825126195E-2</v>
      </c>
      <c r="V28" s="15">
        <f t="shared" si="26"/>
        <v>0.46146105394893966</v>
      </c>
      <c r="W28" s="16" t="str">
        <f t="shared" si="27"/>
        <v>No significativa</v>
      </c>
    </row>
    <row r="29" spans="1:23" x14ac:dyDescent="0.25">
      <c r="A29" s="18" t="s">
        <v>26</v>
      </c>
      <c r="B29" s="14">
        <v>10.75512</v>
      </c>
      <c r="C29" s="14">
        <v>1.5515299999999999</v>
      </c>
      <c r="D29" s="14">
        <v>14.097950000000001</v>
      </c>
      <c r="E29" s="14">
        <v>0.98022000000000009</v>
      </c>
      <c r="F29" s="4"/>
      <c r="G29" s="14">
        <f t="shared" si="18"/>
        <v>3.3428300000000011</v>
      </c>
      <c r="H29" s="15">
        <f t="shared" si="19"/>
        <v>1.8352320260119699</v>
      </c>
      <c r="I29" s="15">
        <f t="shared" si="20"/>
        <v>1.8214754061719922</v>
      </c>
      <c r="J29" s="15">
        <f t="shared" si="21"/>
        <v>3.4267310928598804E-2</v>
      </c>
      <c r="K29" s="16" t="str">
        <f t="shared" si="22"/>
        <v>No significativa</v>
      </c>
      <c r="M29" s="18" t="s">
        <v>26</v>
      </c>
      <c r="N29" s="14">
        <v>12.194389999999999</v>
      </c>
      <c r="O29" s="14">
        <v>0.87712999999999997</v>
      </c>
      <c r="P29" s="14">
        <v>14.097950000000001</v>
      </c>
      <c r="Q29" s="14">
        <v>0.98022000000000009</v>
      </c>
      <c r="R29" s="4"/>
      <c r="S29" s="14">
        <f t="shared" si="23"/>
        <v>1.9035600000000024</v>
      </c>
      <c r="T29" s="15">
        <f t="shared" si="24"/>
        <v>1.3153662171805995</v>
      </c>
      <c r="U29" s="15">
        <f t="shared" si="25"/>
        <v>1.4471711186867466</v>
      </c>
      <c r="V29" s="15">
        <f t="shared" si="26"/>
        <v>7.3924501670106002E-2</v>
      </c>
      <c r="W29" s="16" t="str">
        <f t="shared" si="27"/>
        <v>No 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6.1374400000000007</v>
      </c>
      <c r="C31" s="14">
        <v>0.79025999999999996</v>
      </c>
      <c r="D31" s="14">
        <v>5.1705800000000002</v>
      </c>
      <c r="E31" s="14">
        <v>0.63883000000000001</v>
      </c>
      <c r="F31" s="22"/>
      <c r="G31" s="14">
        <f t="shared" ref="G31:G32" si="28">D31-B31</f>
        <v>-0.9668600000000005</v>
      </c>
      <c r="H31" s="15">
        <f t="shared" ref="H31:H32" si="29">SQRT(E31*E31+C31*C31)</f>
        <v>1.0161764790133652</v>
      </c>
      <c r="I31" s="15">
        <f t="shared" ref="I31:I32" si="30">G31/H31</f>
        <v>-0.95146858834870152</v>
      </c>
      <c r="J31" s="15">
        <f>IF(I31&gt;0,(1-NORMSDIST(I31)),(NORMSDIST(I31)))</f>
        <v>0.17068327842384531</v>
      </c>
      <c r="K31" s="16" t="str">
        <f t="shared" ref="K31:K32" si="31">IF(J31&lt;0.025,"Significativa","No significativa")</f>
        <v>No significativa</v>
      </c>
      <c r="M31" s="21" t="s">
        <v>28</v>
      </c>
      <c r="N31" s="14">
        <v>3.08385</v>
      </c>
      <c r="O31" s="14">
        <v>0.55082000000000009</v>
      </c>
      <c r="P31" s="14">
        <v>5.1705800000000002</v>
      </c>
      <c r="Q31" s="14">
        <v>0.63883000000000001</v>
      </c>
      <c r="R31" s="22"/>
      <c r="S31" s="14">
        <f t="shared" ref="S31:S32" si="32">P31-N31</f>
        <v>2.0867300000000002</v>
      </c>
      <c r="T31" s="15">
        <f t="shared" ref="T31:T32" si="33">SQRT(Q31*Q31+O31*O31)</f>
        <v>0.84350841210980232</v>
      </c>
      <c r="U31" s="15">
        <f t="shared" ref="U31:U32" si="34">S31/T31</f>
        <v>2.473869815691137</v>
      </c>
      <c r="V31" s="15">
        <f>IF(U31&gt;0,(1-NORMSDIST(U31)),(NORMSDIST(U31)))</f>
        <v>6.6829195693641763E-3</v>
      </c>
      <c r="W31" s="16" t="str">
        <f t="shared" ref="W31:W32" si="35">IF(V31&lt;0.025,"Significativa","No significativa")</f>
        <v>Significativa</v>
      </c>
    </row>
    <row r="32" spans="1:23" ht="15" customHeight="1" thickBot="1" x14ac:dyDescent="0.3">
      <c r="A32" s="23" t="s">
        <v>29</v>
      </c>
      <c r="B32" s="30">
        <v>28.595480000000002</v>
      </c>
      <c r="C32" s="30">
        <v>1.6385299999999998</v>
      </c>
      <c r="D32" s="30">
        <v>26.071129999999997</v>
      </c>
      <c r="E32" s="30">
        <v>1.1775799999999998</v>
      </c>
      <c r="F32" s="24"/>
      <c r="G32" s="30">
        <f t="shared" si="28"/>
        <v>-2.5243500000000054</v>
      </c>
      <c r="H32" s="25">
        <f t="shared" si="29"/>
        <v>2.0177896860921849</v>
      </c>
      <c r="I32" s="25">
        <f t="shared" si="30"/>
        <v>-1.2510471321165617</v>
      </c>
      <c r="J32" s="25">
        <f>IF(I32&gt;0,(1-NORMSDIST(I32)),(NORMSDIST(I32)))</f>
        <v>0.10545864109387233</v>
      </c>
      <c r="K32" s="26" t="str">
        <f t="shared" si="31"/>
        <v>No significativa</v>
      </c>
      <c r="M32" s="23" t="s">
        <v>29</v>
      </c>
      <c r="N32" s="30">
        <v>21.105969999999999</v>
      </c>
      <c r="O32" s="30">
        <v>1.1874900000000002</v>
      </c>
      <c r="P32" s="30">
        <v>26.071129999999997</v>
      </c>
      <c r="Q32" s="30">
        <v>1.1775799999999998</v>
      </c>
      <c r="R32" s="24"/>
      <c r="S32" s="30">
        <f t="shared" si="32"/>
        <v>4.9651599999999974</v>
      </c>
      <c r="T32" s="25">
        <f t="shared" si="33"/>
        <v>1.6723717160069409</v>
      </c>
      <c r="U32" s="25">
        <f t="shared" si="34"/>
        <v>2.9689332535802047</v>
      </c>
      <c r="V32" s="25">
        <f>IF(U32&gt;0,(1-NORMSDIST(U32)),(NORMSDIST(U32)))</f>
        <v>1.49417749868197E-3</v>
      </c>
      <c r="W32" s="26" t="str">
        <f t="shared" si="35"/>
        <v>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S12:T12"/>
    <mergeCell ref="V11:V12"/>
    <mergeCell ref="W11:W12"/>
    <mergeCell ref="M9:W9"/>
    <mergeCell ref="M10:W10"/>
    <mergeCell ref="M11:M12"/>
    <mergeCell ref="N11:O11"/>
    <mergeCell ref="P11:Q11"/>
    <mergeCell ref="U11:U12"/>
    <mergeCell ref="I11:I12"/>
    <mergeCell ref="J11:J12"/>
    <mergeCell ref="K11:K12"/>
    <mergeCell ref="G12:H12"/>
    <mergeCell ref="A9:K9"/>
    <mergeCell ref="A10:K10"/>
    <mergeCell ref="A11:A12"/>
    <mergeCell ref="B11:C11"/>
    <mergeCell ref="D11:E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D3F5-D6F5-4F82-8245-1B4B55C446C6}">
  <dimension ref="A4:Y34"/>
  <sheetViews>
    <sheetView zoomScaleNormal="100" workbookViewId="0">
      <selection activeCell="M3" sqref="M3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95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94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25.963619999999999</v>
      </c>
      <c r="E14" s="46">
        <v>1.51102</v>
      </c>
      <c r="F14" s="46">
        <v>23.117339999999999</v>
      </c>
      <c r="G14" s="46">
        <v>1.0581500000000001</v>
      </c>
      <c r="H14" s="46"/>
      <c r="I14" s="46">
        <f>F14-D14</f>
        <v>-2.8462800000000001</v>
      </c>
      <c r="J14" s="15">
        <f>SQRT(G14*G14+E14*E14)</f>
        <v>1.8446850308114933</v>
      </c>
      <c r="K14" s="15">
        <f>I14/J14</f>
        <v>-1.5429625938623768</v>
      </c>
      <c r="L14" s="15">
        <f>IF(K14&gt;0,(1-NORMSDIST(K14)),(NORMSDIST(K14)))</f>
        <v>6.1419926024008253E-2</v>
      </c>
      <c r="M14" s="16" t="str">
        <f>IF(L14&lt;0.025,"Significativa","No significativa")</f>
        <v>No significativa</v>
      </c>
      <c r="O14" s="13" t="s">
        <v>11</v>
      </c>
      <c r="P14" s="46">
        <v>23.25685</v>
      </c>
      <c r="Q14" s="46">
        <v>1.29914</v>
      </c>
      <c r="R14" s="46">
        <v>23.117339999999999</v>
      </c>
      <c r="S14" s="46">
        <v>1.0581500000000001</v>
      </c>
      <c r="T14" s="4"/>
      <c r="U14" s="14">
        <f>R14-P14</f>
        <v>-0.13951000000000136</v>
      </c>
      <c r="V14" s="15">
        <f>SQRT(S14*S14+Q14*Q14)</f>
        <v>1.6755435422870992</v>
      </c>
      <c r="W14" s="15">
        <f>U14/V14</f>
        <v>-8.3262533308786288E-2</v>
      </c>
      <c r="X14" s="15">
        <f>IF(W14&gt;0,(1-NORMSDIST(W14)),(NORMSDIST(W14)))</f>
        <v>0.46682139545035867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46">
        <v>22.624639999999999</v>
      </c>
      <c r="E15" s="46">
        <v>1.3659299999999999</v>
      </c>
      <c r="F15" s="46">
        <v>21.396570000000001</v>
      </c>
      <c r="G15" s="46">
        <v>1.00674</v>
      </c>
      <c r="H15" s="46"/>
      <c r="I15" s="46">
        <f>F15-D15</f>
        <v>-1.2280699999999989</v>
      </c>
      <c r="J15" s="15">
        <f>SQRT(G15*G15+E15*E15)</f>
        <v>1.6968471329203463</v>
      </c>
      <c r="K15" s="15">
        <f>I15/J15</f>
        <v>-0.72373637917897649</v>
      </c>
      <c r="L15" s="15">
        <f>IF(K15&gt;0,(1-NORMSDIST(K15)),(NORMSDIST(K15)))</f>
        <v>0.23461379721983455</v>
      </c>
      <c r="M15" s="16" t="str">
        <f>IF(L15&lt;0.025,"Significativa","No significativa")</f>
        <v>No significativa</v>
      </c>
      <c r="O15" s="13" t="s">
        <v>12</v>
      </c>
      <c r="P15" s="46">
        <v>21.63138</v>
      </c>
      <c r="Q15" s="46">
        <v>1.1274899999999999</v>
      </c>
      <c r="R15" s="46">
        <v>21.396570000000001</v>
      </c>
      <c r="S15" s="46">
        <v>1.00674</v>
      </c>
      <c r="T15" s="4"/>
      <c r="U15" s="14">
        <f>R15-P15</f>
        <v>-0.23480999999999952</v>
      </c>
      <c r="V15" s="15">
        <f>SQRT(S15*S15+Q15*Q15)</f>
        <v>1.5115419702079065</v>
      </c>
      <c r="W15" s="15">
        <f>U15/V15</f>
        <v>-0.15534467757299678</v>
      </c>
      <c r="X15" s="15">
        <f>IF(W15&gt;0,(1-NORMSDIST(W15)),(NORMSDIST(W15)))</f>
        <v>0.43827479774250672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46">
        <v>3.3389799999999998</v>
      </c>
      <c r="E16" s="46">
        <v>0.51698999999999995</v>
      </c>
      <c r="F16" s="46">
        <v>1.7207600000000001</v>
      </c>
      <c r="G16" s="46">
        <v>0.28200999999999998</v>
      </c>
      <c r="H16" s="46"/>
      <c r="I16" s="46">
        <f>F16-D16</f>
        <v>-1.6182199999999998</v>
      </c>
      <c r="J16" s="15">
        <f>SQRT(G16*G16+E16*E16)</f>
        <v>0.58890432177052321</v>
      </c>
      <c r="K16" s="15">
        <f>I16/J16</f>
        <v>-2.7478487424491465</v>
      </c>
      <c r="L16" s="15">
        <f>IF(K16&gt;0,(1-NORMSDIST(K16)),(NORMSDIST(K16)))</f>
        <v>2.9993837949213687E-3</v>
      </c>
      <c r="M16" s="16" t="str">
        <f>IF(L16&lt;0.025,"Significativa","No significativa")</f>
        <v>Significativa</v>
      </c>
      <c r="O16" s="13" t="s">
        <v>13</v>
      </c>
      <c r="P16" s="46">
        <v>1.62547</v>
      </c>
      <c r="Q16" s="46">
        <v>0.38735000000000003</v>
      </c>
      <c r="R16" s="46">
        <v>1.7207600000000001</v>
      </c>
      <c r="S16" s="46">
        <v>0.28200999999999998</v>
      </c>
      <c r="T16" s="4"/>
      <c r="U16" s="14">
        <f>R16-P16</f>
        <v>9.5290000000000097E-2</v>
      </c>
      <c r="V16" s="15">
        <f>SQRT(S16*S16+Q16*Q16)</f>
        <v>0.47913428451739914</v>
      </c>
      <c r="W16" s="15">
        <f>U16/V16</f>
        <v>0.19887952726234051</v>
      </c>
      <c r="X16" s="15">
        <f>IF(W16&gt;0,(1-NORMSDIST(W16)),(NORMSDIST(W16)))</f>
        <v>0.42117849224454207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46">
        <v>42.140940000000001</v>
      </c>
      <c r="E17" s="46">
        <v>1.3324100000000001</v>
      </c>
      <c r="F17" s="46">
        <v>38.828540000000004</v>
      </c>
      <c r="G17" s="46">
        <v>1.03277</v>
      </c>
      <c r="H17" s="46"/>
      <c r="I17" s="46">
        <f>F17-D17</f>
        <v>-3.3123999999999967</v>
      </c>
      <c r="J17" s="15">
        <f>SQRT(G17*G17+E17*E17)</f>
        <v>1.6858025628762108</v>
      </c>
      <c r="K17" s="15">
        <f>I17/J17</f>
        <v>-1.964880154380942</v>
      </c>
      <c r="L17" s="15">
        <f>IF(K17&gt;0,(1-NORMSDIST(K17)),(NORMSDIST(K17)))</f>
        <v>2.4714055090750305E-2</v>
      </c>
      <c r="M17" s="16" t="str">
        <f>IF(L17&lt;0.025,"Significativa","No significativa")</f>
        <v>Significativa</v>
      </c>
      <c r="O17" s="13" t="s">
        <v>14</v>
      </c>
      <c r="P17" s="46">
        <v>39.767789999999998</v>
      </c>
      <c r="Q17" s="46">
        <v>1.24864</v>
      </c>
      <c r="R17" s="46">
        <v>38.828540000000004</v>
      </c>
      <c r="S17" s="46">
        <v>1.03277</v>
      </c>
      <c r="T17" s="4"/>
      <c r="U17" s="14">
        <f>R17-P17</f>
        <v>-0.93924999999999415</v>
      </c>
      <c r="V17" s="15">
        <f>SQRT(S17*S17+Q17*Q17)</f>
        <v>1.6204060363069497</v>
      </c>
      <c r="W17" s="15">
        <f>U17/V17</f>
        <v>-0.57963867015740633</v>
      </c>
      <c r="X17" s="15">
        <f>IF(W17&gt;0,(1-NORMSDIST(W17)),(NORMSDIST(W17)))</f>
        <v>0.28107915483920087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46">
        <v>5.4038700000000004</v>
      </c>
      <c r="E18" s="46">
        <v>0.53134000000000003</v>
      </c>
      <c r="F18" s="46">
        <v>6.3814399999999996</v>
      </c>
      <c r="G18" s="46">
        <v>0.51285999999999998</v>
      </c>
      <c r="H18" s="46"/>
      <c r="I18" s="46">
        <f>F18-D18</f>
        <v>0.97756999999999916</v>
      </c>
      <c r="J18" s="15">
        <f>SQRT(G18*G18+E18*E18)</f>
        <v>0.73847652312040368</v>
      </c>
      <c r="K18" s="15">
        <f>I18/J18</f>
        <v>1.3237658468400801</v>
      </c>
      <c r="L18" s="15">
        <f>IF(K18&gt;0,(1-NORMSDIST(K18)),(NORMSDIST(K18)))</f>
        <v>9.2790411063825795E-2</v>
      </c>
      <c r="M18" s="16" t="str">
        <f>IF(L18&lt;0.025,"Significativa","No significativa")</f>
        <v>No significativa</v>
      </c>
      <c r="O18" s="13" t="s">
        <v>15</v>
      </c>
      <c r="P18" s="46">
        <v>6.7548300000000001</v>
      </c>
      <c r="Q18" s="46">
        <v>0.69537000000000004</v>
      </c>
      <c r="R18" s="46">
        <v>6.3814399999999996</v>
      </c>
      <c r="S18" s="46">
        <v>0.51285999999999998</v>
      </c>
      <c r="T18" s="4"/>
      <c r="U18" s="14">
        <f>R18-P18</f>
        <v>-0.37339000000000055</v>
      </c>
      <c r="V18" s="15">
        <f>SQRT(S18*S18+Q18*Q18)</f>
        <v>0.86403982344565577</v>
      </c>
      <c r="W18" s="15">
        <f>U18/V18</f>
        <v>-0.43214443347180409</v>
      </c>
      <c r="X18" s="15">
        <f>IF(W18&gt;0,(1-NORMSDIST(W18)),(NORMSDIST(W18)))</f>
        <v>0.33281822106640868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46">
        <v>26.491569999999996</v>
      </c>
      <c r="E19" s="46">
        <v>1.19157</v>
      </c>
      <c r="F19" s="46">
        <v>31.672689999999999</v>
      </c>
      <c r="G19" s="46">
        <v>0.99953999999999998</v>
      </c>
      <c r="H19" s="46"/>
      <c r="I19" s="46">
        <f>F19-D19</f>
        <v>5.1811200000000035</v>
      </c>
      <c r="J19" s="15">
        <f>SQRT(G19*G19+E19*E19)</f>
        <v>1.5552875221321618</v>
      </c>
      <c r="K19" s="15">
        <f>I19/J19</f>
        <v>3.3312940059450522</v>
      </c>
      <c r="L19" s="15">
        <f>IF(K19&gt;0,(1-NORMSDIST(K19)),(NORMSDIST(K19)))</f>
        <v>4.3221625726175272E-4</v>
      </c>
      <c r="M19" s="16" t="str">
        <f>IF(L19&lt;0.025,"Significativa","No significativa")</f>
        <v>Significativa</v>
      </c>
      <c r="O19" s="13" t="s">
        <v>16</v>
      </c>
      <c r="P19" s="46">
        <v>30.22053</v>
      </c>
      <c r="Q19" s="46">
        <v>1.24061</v>
      </c>
      <c r="R19" s="46">
        <v>31.672689999999999</v>
      </c>
      <c r="S19" s="46">
        <v>0.99953999999999998</v>
      </c>
      <c r="T19" s="4"/>
      <c r="U19" s="14">
        <f>R19-P19</f>
        <v>1.4521599999999992</v>
      </c>
      <c r="V19" s="15">
        <f>SQRT(S19*S19+Q19*Q19)</f>
        <v>1.5931708582885893</v>
      </c>
      <c r="W19" s="15">
        <f>U19/V19</f>
        <v>0.91149043584687062</v>
      </c>
      <c r="X19" s="15">
        <f>IF(W19&gt;0,(1-NORMSDIST(W19)),(NORMSDIST(W19)))</f>
        <v>0.18101851132548719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I20" s="46"/>
      <c r="J20" s="15"/>
      <c r="K20" s="15"/>
      <c r="L20" s="15"/>
      <c r="M20" s="16"/>
      <c r="O20" s="17" t="s">
        <v>17</v>
      </c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68.104560000000006</v>
      </c>
      <c r="E21" s="46">
        <v>1.2316400000000001</v>
      </c>
      <c r="F21" s="46">
        <v>61.945869999999999</v>
      </c>
      <c r="G21" s="46">
        <v>1.05705</v>
      </c>
      <c r="H21" s="46"/>
      <c r="I21" s="46">
        <f>F21-D21</f>
        <v>-6.1586900000000071</v>
      </c>
      <c r="J21" s="15">
        <f>SQRT(G21*G21+E21*E21)</f>
        <v>1.6230501508271393</v>
      </c>
      <c r="K21" s="15">
        <f>I21/J21</f>
        <v>-3.7945161441015323</v>
      </c>
      <c r="L21" s="15">
        <f>IF(K21&gt;0,(1-NORMSDIST(K21)),(NORMSDIST(K21)))</f>
        <v>7.3965828411215074E-5</v>
      </c>
      <c r="M21" s="16" t="str">
        <f>IF(L21&lt;0.025,"Significativa","No significativa")</f>
        <v>Significativa</v>
      </c>
      <c r="O21" s="18" t="s">
        <v>18</v>
      </c>
      <c r="P21" s="46">
        <v>63.024639999999998</v>
      </c>
      <c r="Q21" s="46">
        <v>1.4698800000000001</v>
      </c>
      <c r="R21" s="46">
        <v>61.945869999999999</v>
      </c>
      <c r="S21" s="46">
        <v>1.05705</v>
      </c>
      <c r="T21" s="4"/>
      <c r="U21" s="14">
        <f>R21-P21</f>
        <v>-1.0787699999999987</v>
      </c>
      <c r="V21" s="15">
        <f>SQRT(S21*S21+Q21*Q21)</f>
        <v>1.8104976986729369</v>
      </c>
      <c r="W21" s="15">
        <f>U21/V21</f>
        <v>-0.59584168529499826</v>
      </c>
      <c r="X21" s="15">
        <f>IF(W21&gt;0,(1-NORMSDIST(W21)),(NORMSDIST(W21)))</f>
        <v>0.27564049654810974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16.608170000000001</v>
      </c>
      <c r="E22" s="46">
        <v>1.3321499999999999</v>
      </c>
      <c r="F22" s="46">
        <v>10.03424</v>
      </c>
      <c r="G22" s="46">
        <v>0.62080000000000002</v>
      </c>
      <c r="H22" s="46"/>
      <c r="I22" s="46">
        <f>F22-D22</f>
        <v>-6.5739300000000007</v>
      </c>
      <c r="J22" s="15">
        <f>SQRT(G22*G22+E22*E22)</f>
        <v>1.4696993782743462</v>
      </c>
      <c r="K22" s="15">
        <f>I22/J22</f>
        <v>-4.4729759685404566</v>
      </c>
      <c r="L22" s="15">
        <f>IF(K22&gt;0,(1-NORMSDIST(K22)),(NORMSDIST(K22)))</f>
        <v>3.8569224744421667E-6</v>
      </c>
      <c r="M22" s="16" t="str">
        <f>IF(L22&lt;0.025,"Significativa","No significativa")</f>
        <v>Significativa</v>
      </c>
      <c r="O22" s="18" t="s">
        <v>19</v>
      </c>
      <c r="P22" s="46">
        <v>9.7006800000000002</v>
      </c>
      <c r="Q22" s="46">
        <v>1.01292</v>
      </c>
      <c r="R22" s="46">
        <v>10.03424</v>
      </c>
      <c r="S22" s="46">
        <v>0.62080000000000002</v>
      </c>
      <c r="T22" s="4"/>
      <c r="U22" s="14">
        <f>R22-P22</f>
        <v>0.3335600000000003</v>
      </c>
      <c r="V22" s="15">
        <f>SQRT(S22*S22+Q22*Q22)</f>
        <v>1.1880233863018017</v>
      </c>
      <c r="W22" s="15">
        <f>U22/V22</f>
        <v>0.28076888371561382</v>
      </c>
      <c r="X22" s="15">
        <f>IF(W22&gt;0,(1-NORMSDIST(W22)),(NORMSDIST(W22)))</f>
        <v>0.38944383558910534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I23" s="46"/>
      <c r="J23" s="15"/>
      <c r="K23" s="15"/>
      <c r="L23" s="15"/>
      <c r="M23" s="16"/>
      <c r="O23" s="19" t="s">
        <v>20</v>
      </c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17.952080000000002</v>
      </c>
      <c r="E24" s="46">
        <v>0.73712999999999995</v>
      </c>
      <c r="F24" s="46">
        <v>13.29218</v>
      </c>
      <c r="G24" s="46">
        <v>0.58791000000000004</v>
      </c>
      <c r="H24" s="46"/>
      <c r="I24" s="46">
        <f>F24-D24</f>
        <v>-4.6599000000000022</v>
      </c>
      <c r="J24" s="15">
        <f>SQRT(G24*G24+E24*E24)</f>
        <v>0.94286733160079306</v>
      </c>
      <c r="K24" s="15">
        <f>I24/J24</f>
        <v>-4.9422647745027488</v>
      </c>
      <c r="L24" s="15">
        <f>IF(K24&gt;0,(1-NORMSDIST(K24)),(NORMSDIST(K24)))</f>
        <v>3.8610122845042836E-7</v>
      </c>
      <c r="M24" s="16" t="str">
        <f>IF(L24&lt;0.025,"Significativa","No significativa")</f>
        <v>Significativa</v>
      </c>
      <c r="O24" s="20" t="s">
        <v>21</v>
      </c>
      <c r="P24" s="46">
        <v>14.024030000000002</v>
      </c>
      <c r="Q24" s="46">
        <v>0.62921000000000005</v>
      </c>
      <c r="R24" s="46">
        <v>13.29218</v>
      </c>
      <c r="S24" s="46">
        <v>0.58791000000000004</v>
      </c>
      <c r="T24" s="4"/>
      <c r="U24" s="14">
        <f>R24-P24</f>
        <v>-0.73185000000000144</v>
      </c>
      <c r="V24" s="15">
        <f>SQRT(S24*S24+Q24*Q24)</f>
        <v>0.86112913793460744</v>
      </c>
      <c r="W24" s="15">
        <f>U24/V24</f>
        <v>-0.84987253102980798</v>
      </c>
      <c r="X24" s="15">
        <f>IF(W24&gt;0,(1-NORMSDIST(W24)),(NORMSDIST(W24)))</f>
        <v>0.19769797948946666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32.588999999999999</v>
      </c>
      <c r="E25" s="46">
        <v>1.32003</v>
      </c>
      <c r="F25" s="46">
        <v>23.978189999999998</v>
      </c>
      <c r="G25" s="46">
        <v>0.80757999999999996</v>
      </c>
      <c r="H25" s="46"/>
      <c r="I25" s="46">
        <f>F25-D25</f>
        <v>-8.6108100000000007</v>
      </c>
      <c r="J25" s="15">
        <f>SQRT(G25*G25+E25*E25)</f>
        <v>1.5474704059528892</v>
      </c>
      <c r="K25" s="15">
        <f>I25/J25</f>
        <v>-5.5644424390123985</v>
      </c>
      <c r="L25" s="15">
        <f>IF(K25&gt;0,(1-NORMSDIST(K25)),(NORMSDIST(K25)))</f>
        <v>1.3149595897898585E-8</v>
      </c>
      <c r="M25" s="16" t="str">
        <f>IF(L25&lt;0.025,"Significativa","No significativa")</f>
        <v>Significativa</v>
      </c>
      <c r="O25" s="18" t="s">
        <v>22</v>
      </c>
      <c r="P25" s="46">
        <v>16.860569999999999</v>
      </c>
      <c r="Q25" s="46">
        <v>0.83584999999999998</v>
      </c>
      <c r="R25" s="46">
        <v>23.978189999999998</v>
      </c>
      <c r="S25" s="46">
        <v>0.80757999999999996</v>
      </c>
      <c r="T25" s="4"/>
      <c r="U25" s="14">
        <f>R25-P25</f>
        <v>7.1176199999999987</v>
      </c>
      <c r="V25" s="15">
        <f>SQRT(S25*S25+Q25*Q25)</f>
        <v>1.1622524161730101</v>
      </c>
      <c r="W25" s="15">
        <f>U25/V25</f>
        <v>6.1239881293914102</v>
      </c>
      <c r="X25" s="15">
        <f>IF(W25&gt;0,(1-NORMSDIST(W25)),(NORMSDIST(W25)))</f>
        <v>4.5630854650369201E-10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55.098499999999994</v>
      </c>
      <c r="E26" s="46">
        <v>1.3275000000000001</v>
      </c>
      <c r="F26" s="46">
        <v>46.922750000000001</v>
      </c>
      <c r="G26" s="46">
        <v>1.0781799999999999</v>
      </c>
      <c r="H26" s="46"/>
      <c r="I26" s="46">
        <f>F26-D26</f>
        <v>-8.1757499999999936</v>
      </c>
      <c r="J26" s="15">
        <f>SQRT(G26*G26+E26*E26)</f>
        <v>1.7101837218264009</v>
      </c>
      <c r="K26" s="15">
        <f>I26/J26</f>
        <v>-4.7806267219457874</v>
      </c>
      <c r="L26" s="15">
        <f>IF(K26&gt;0,(1-NORMSDIST(K26)),(NORMSDIST(K26)))</f>
        <v>8.7374782718602173E-7</v>
      </c>
      <c r="M26" s="16" t="str">
        <f>IF(L26&lt;0.025,"Significativa","No significativa")</f>
        <v>Significativa</v>
      </c>
      <c r="O26" s="18" t="s">
        <v>23</v>
      </c>
      <c r="P26" s="46">
        <v>45.246180000000003</v>
      </c>
      <c r="Q26" s="46">
        <v>1.33701</v>
      </c>
      <c r="R26" s="46">
        <v>46.922750000000001</v>
      </c>
      <c r="S26" s="46">
        <v>1.0781799999999999</v>
      </c>
      <c r="T26" s="4"/>
      <c r="U26" s="14">
        <f>R26-P26</f>
        <v>1.6765699999999981</v>
      </c>
      <c r="V26" s="15">
        <f>SQRT(S26*S26+Q26*Q26)</f>
        <v>1.7175761562446075</v>
      </c>
      <c r="W26" s="15">
        <f>U26/V26</f>
        <v>0.97612556736100298</v>
      </c>
      <c r="X26" s="15">
        <f>IF(W26&gt;0,(1-NORMSDIST(W26)),(NORMSDIST(W26)))</f>
        <v>0.16450112138185058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8.0024700000000006</v>
      </c>
      <c r="E27" s="46">
        <v>1.22427</v>
      </c>
      <c r="F27" s="46">
        <v>6.7925799999999992</v>
      </c>
      <c r="G27" s="46">
        <v>0.70891999999999999</v>
      </c>
      <c r="H27" s="46"/>
      <c r="I27" s="46">
        <f>F27-D27</f>
        <v>-1.2098900000000015</v>
      </c>
      <c r="J27" s="15">
        <f>SQRT(G27*G27+E27*E27)</f>
        <v>1.4147100760579885</v>
      </c>
      <c r="K27" s="15">
        <f>I27/J27</f>
        <v>-0.855221165435743</v>
      </c>
      <c r="L27" s="15">
        <f>IF(K27&gt;0,(1-NORMSDIST(K27)),(NORMSDIST(K27)))</f>
        <v>0.19621436051790764</v>
      </c>
      <c r="M27" s="16" t="str">
        <f>IF(L27&lt;0.025,"Significativa","No significativa")</f>
        <v>No significativa</v>
      </c>
      <c r="O27" s="18" t="s">
        <v>24</v>
      </c>
      <c r="P27" s="46">
        <v>9.4692399999999992</v>
      </c>
      <c r="Q27" s="46">
        <v>0.85505000000000009</v>
      </c>
      <c r="R27" s="46">
        <v>6.7925799999999992</v>
      </c>
      <c r="S27" s="46">
        <v>0.70891999999999999</v>
      </c>
      <c r="T27" s="4"/>
      <c r="U27" s="14">
        <f>R27-P27</f>
        <v>-2.67666</v>
      </c>
      <c r="V27" s="15">
        <f>SQRT(S27*S27+Q27*Q27)</f>
        <v>1.1107106143816221</v>
      </c>
      <c r="W27" s="15">
        <f>U27/V27</f>
        <v>-2.4098626278908895</v>
      </c>
      <c r="X27" s="15">
        <f>IF(W27&gt;0,(1-NORMSDIST(W27)),(NORMSDIST(W27)))</f>
        <v>7.9792640373538629E-3</v>
      </c>
      <c r="Y27" s="16" t="str">
        <f>IF(X27&lt;0.025,"Significativa","No significativa")</f>
        <v>Significativa</v>
      </c>
    </row>
    <row r="28" spans="3:25" x14ac:dyDescent="0.25">
      <c r="C28" s="18" t="s">
        <v>25</v>
      </c>
      <c r="D28" s="46">
        <v>6.9004899999999996</v>
      </c>
      <c r="E28" s="46">
        <v>1.27521</v>
      </c>
      <c r="F28" s="46">
        <v>4.9797899999999995</v>
      </c>
      <c r="G28" s="46">
        <v>0.60838999999999999</v>
      </c>
      <c r="H28" s="46"/>
      <c r="I28" s="46">
        <f>F28-D28</f>
        <v>-1.9207000000000001</v>
      </c>
      <c r="J28" s="15">
        <f>SQRT(G28*G28+E28*E28)</f>
        <v>1.4129044327908382</v>
      </c>
      <c r="K28" s="15">
        <f>I28/J28</f>
        <v>-1.3593983821015687</v>
      </c>
      <c r="L28" s="15">
        <f>IF(K28&gt;0,(1-NORMSDIST(K28)),(NORMSDIST(K28)))</f>
        <v>8.7010191760424169E-2</v>
      </c>
      <c r="M28" s="16" t="str">
        <f>IF(L28&lt;0.025,"Significativa","No significativa")</f>
        <v>No significativa</v>
      </c>
      <c r="O28" s="18" t="s">
        <v>25</v>
      </c>
      <c r="P28" s="46">
        <v>8.938369999999999</v>
      </c>
      <c r="Q28" s="46">
        <v>2.0912199999999999</v>
      </c>
      <c r="R28" s="46">
        <v>4.9797899999999995</v>
      </c>
      <c r="S28" s="46">
        <v>0.60838999999999999</v>
      </c>
      <c r="T28" s="4"/>
      <c r="U28" s="14">
        <f>R28-P28</f>
        <v>-3.9585799999999995</v>
      </c>
      <c r="V28" s="15">
        <f>SQRT(S28*S28+Q28*Q28)</f>
        <v>2.1779209077696096</v>
      </c>
      <c r="W28" s="15">
        <f>U28/V28</f>
        <v>-1.8175958483515124</v>
      </c>
      <c r="X28" s="15">
        <f>IF(W28&gt;0,(1-NORMSDIST(W28)),(NORMSDIST(W28)))</f>
        <v>3.456296332530099E-2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14.13203</v>
      </c>
      <c r="E29" s="46">
        <v>1.23125</v>
      </c>
      <c r="F29" s="46">
        <v>12.663260000000001</v>
      </c>
      <c r="G29" s="46">
        <v>0.89978000000000002</v>
      </c>
      <c r="H29" s="46"/>
      <c r="I29" s="46">
        <f>F29-D29</f>
        <v>-1.4687699999999992</v>
      </c>
      <c r="J29" s="15">
        <f>SQRT(G29*G29+E29*E29)</f>
        <v>1.5249854461272736</v>
      </c>
      <c r="K29" s="15">
        <f>I29/J29</f>
        <v>-0.96313706057324389</v>
      </c>
      <c r="L29" s="15">
        <f>IF(K29&gt;0,(1-NORMSDIST(K29)),(NORMSDIST(K29)))</f>
        <v>0.16773937273073022</v>
      </c>
      <c r="M29" s="16" t="str">
        <f>IF(L29&lt;0.025,"Significativa","No significativa")</f>
        <v>No significativa</v>
      </c>
      <c r="O29" s="18" t="s">
        <v>26</v>
      </c>
      <c r="P29" s="46">
        <v>14.148759999999999</v>
      </c>
      <c r="Q29" s="46">
        <v>1.04122</v>
      </c>
      <c r="R29" s="46">
        <v>12.663260000000001</v>
      </c>
      <c r="S29" s="46">
        <v>0.89978000000000002</v>
      </c>
      <c r="T29" s="4"/>
      <c r="U29" s="14">
        <f>R29-P29</f>
        <v>-1.4854999999999983</v>
      </c>
      <c r="V29" s="15">
        <f>SQRT(S29*S29+Q29*Q29)</f>
        <v>1.3761334008009545</v>
      </c>
      <c r="W29" s="15">
        <f>U29/V29</f>
        <v>-1.0794738352658171</v>
      </c>
      <c r="X29" s="15">
        <f>IF(W29&gt;0,(1-NORMSDIST(W29)),(NORMSDIST(W29)))</f>
        <v>0.14018827579504728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I30" s="46"/>
      <c r="J30" s="15"/>
      <c r="K30" s="15"/>
      <c r="L30" s="15"/>
      <c r="M30" s="16"/>
      <c r="O30" s="8" t="s">
        <v>27</v>
      </c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7.59605</v>
      </c>
      <c r="E31" s="46">
        <v>0.80770000000000008</v>
      </c>
      <c r="F31" s="46">
        <v>6.523909999999999</v>
      </c>
      <c r="G31" s="46">
        <v>0.65469999999999995</v>
      </c>
      <c r="H31" s="46"/>
      <c r="I31" s="46">
        <f>F31-D31</f>
        <v>-1.072140000000001</v>
      </c>
      <c r="J31" s="15">
        <f>SQRT(G31*G31+E31*E31)</f>
        <v>1.0397169711031942</v>
      </c>
      <c r="K31" s="15">
        <f>I31/J31</f>
        <v>-1.0311844759659972</v>
      </c>
      <c r="L31" s="15">
        <f>IF(K31&gt;0,(1-NORMSDIST(K31)),(NORMSDIST(K31)))</f>
        <v>0.1512271595613611</v>
      </c>
      <c r="M31" s="16" t="str">
        <f>IF(L31&lt;0.025,"Significativa","No significativa")</f>
        <v>No significativa</v>
      </c>
      <c r="O31" s="21" t="s">
        <v>28</v>
      </c>
      <c r="P31" s="46">
        <v>5.7857000000000003</v>
      </c>
      <c r="Q31" s="46">
        <v>0.74421999999999999</v>
      </c>
      <c r="R31" s="46">
        <v>6.523909999999999</v>
      </c>
      <c r="S31" s="46">
        <v>0.65469999999999995</v>
      </c>
      <c r="T31" s="22"/>
      <c r="U31" s="14">
        <f>R31-P31</f>
        <v>0.7382099999999987</v>
      </c>
      <c r="V31" s="15">
        <f>SQRT(S31*S31+Q31*Q31)</f>
        <v>0.99120910932053075</v>
      </c>
      <c r="W31" s="15">
        <f>U31/V31</f>
        <v>0.74475707805594948</v>
      </c>
      <c r="X31" s="15">
        <f>IF(W31&gt;0,(1-NORMSDIST(W31)),(NORMSDIST(W31)))</f>
        <v>0.22820929339688822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31.367489999999997</v>
      </c>
      <c r="E32" s="30">
        <v>1.5744199999999999</v>
      </c>
      <c r="F32" s="30">
        <v>29.49877</v>
      </c>
      <c r="G32" s="30">
        <v>1.1588799999999999</v>
      </c>
      <c r="H32" s="30"/>
      <c r="I32" s="30">
        <f>F32-D32</f>
        <v>-1.8687199999999962</v>
      </c>
      <c r="J32" s="25">
        <f>SQRT(G32*G32+E32*E32)</f>
        <v>1.9549427589574073</v>
      </c>
      <c r="K32" s="25">
        <f>I32/J32</f>
        <v>-0.95589499561440117</v>
      </c>
      <c r="L32" s="25">
        <f>IF(K32&gt;0,(1-NORMSDIST(K32)),(NORMSDIST(K32)))</f>
        <v>0.16956264378484726</v>
      </c>
      <c r="M32" s="26" t="str">
        <f>IF(L32&lt;0.025,"Significativa","No significativa")</f>
        <v>No significativa</v>
      </c>
      <c r="O32" s="23" t="s">
        <v>29</v>
      </c>
      <c r="P32" s="30">
        <v>30.011680000000002</v>
      </c>
      <c r="Q32" s="30">
        <v>1.3969100000000001</v>
      </c>
      <c r="R32" s="30">
        <v>29.49877</v>
      </c>
      <c r="S32" s="30">
        <v>1.1588799999999999</v>
      </c>
      <c r="T32" s="24"/>
      <c r="U32" s="32">
        <f>R32-P32</f>
        <v>-0.51291000000000153</v>
      </c>
      <c r="V32" s="25">
        <f>SQRT(S32*S32+Q32*Q32)</f>
        <v>1.8150373005809</v>
      </c>
      <c r="W32" s="25">
        <f>U32/V32</f>
        <v>-0.28258923375064826</v>
      </c>
      <c r="X32" s="25">
        <f>IF(W32&gt;0,(1-NORMSDIST(W32)),(NORMSDIST(W32)))</f>
        <v>0.38874586715238857</v>
      </c>
      <c r="Y32" s="26" t="str">
        <f>IF(X32&lt;0.025,"Significativa","No significativa")</f>
        <v>No 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79CD-9CB5-40F4-BAF5-ED44932EA72B}">
  <dimension ref="A9:W34"/>
  <sheetViews>
    <sheetView zoomScale="85" zoomScaleNormal="85" workbookViewId="0">
      <selection activeCell="X1" sqref="X1:AJ1048576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customHeight="1" x14ac:dyDescent="0.25">
      <c r="A9" s="54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40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ht="15" customHeight="1" x14ac:dyDescent="0.25">
      <c r="A14" s="13" t="s">
        <v>11</v>
      </c>
      <c r="B14" s="14">
        <v>61.803379999999997</v>
      </c>
      <c r="C14" s="14">
        <v>2.6688199999999997</v>
      </c>
      <c r="D14" s="14">
        <v>63.828589999999998</v>
      </c>
      <c r="E14" s="14">
        <v>1.7578799999999999</v>
      </c>
      <c r="F14" s="4"/>
      <c r="G14" s="14">
        <f>D14-B14</f>
        <v>2.0252100000000013</v>
      </c>
      <c r="H14" s="15">
        <f>SQRT(E14*E14+C14*C14)</f>
        <v>3.1957381442790331</v>
      </c>
      <c r="I14" s="15">
        <f>G14/H14</f>
        <v>0.63372213509592601</v>
      </c>
      <c r="J14" s="15">
        <f>IF(I14&gt;0,(1-NORMSDIST(I14)),(NORMSDIST(I14)))</f>
        <v>0.26313108831369036</v>
      </c>
      <c r="K14" s="16" t="str">
        <f>IF(J14&lt;0.025,"Significativa","No significativa")</f>
        <v>No significativa</v>
      </c>
      <c r="M14" s="13" t="s">
        <v>11</v>
      </c>
      <c r="N14" s="14">
        <v>66.351619999999997</v>
      </c>
      <c r="O14" s="14">
        <v>1.75518</v>
      </c>
      <c r="P14" s="14">
        <v>63.828589999999998</v>
      </c>
      <c r="Q14" s="14">
        <v>1.7578799999999999</v>
      </c>
      <c r="R14" s="4"/>
      <c r="S14" s="14">
        <f>P14-N14</f>
        <v>-2.5230299999999986</v>
      </c>
      <c r="T14" s="15">
        <f>SQRT(Q14*Q14+O14*O14)</f>
        <v>2.4841092823786961</v>
      </c>
      <c r="U14" s="15">
        <f>S14/T14</f>
        <v>-1.0156678765694371</v>
      </c>
      <c r="V14" s="15">
        <f>IF(U14&gt;0,(1-NORMSDIST(U14)),(NORMSDIST(U14)))</f>
        <v>0.15489378504677542</v>
      </c>
      <c r="W14" s="16" t="str">
        <f>IF(V14&lt;0.025,"Significativa","No significativa")</f>
        <v>No significativa</v>
      </c>
    </row>
    <row r="15" spans="1:23" ht="15" customHeight="1" x14ac:dyDescent="0.25">
      <c r="A15" s="13" t="s">
        <v>12</v>
      </c>
      <c r="B15" s="14">
        <v>33.481270000000002</v>
      </c>
      <c r="C15" s="14">
        <v>1.70085</v>
      </c>
      <c r="D15" s="14">
        <v>39.551700000000004</v>
      </c>
      <c r="E15" s="14">
        <v>1.3790500000000001</v>
      </c>
      <c r="F15" s="4"/>
      <c r="G15" s="14">
        <f t="shared" ref="G15:G19" si="0">D15-B15</f>
        <v>6.0704300000000018</v>
      </c>
      <c r="H15" s="15">
        <f t="shared" ref="H15:H19" si="1">SQRT(E15*E15+C15*C15)</f>
        <v>2.1896734060128695</v>
      </c>
      <c r="I15" s="15">
        <f t="shared" ref="I15:I19" si="2">G15/H15</f>
        <v>2.7722992768375998</v>
      </c>
      <c r="J15" s="15">
        <f t="shared" ref="J15:J19" si="3">IF(I15&gt;0,(1-NORMSDIST(I15)),(NORMSDIST(I15)))</f>
        <v>2.7830917857072368E-3</v>
      </c>
      <c r="K15" s="16" t="str">
        <f t="shared" ref="K15:K19" si="4">IF(J15&lt;0.025,"Significativa","No significativa")</f>
        <v>Significativa</v>
      </c>
      <c r="M15" s="13" t="s">
        <v>12</v>
      </c>
      <c r="N15" s="14">
        <v>43.0869</v>
      </c>
      <c r="O15" s="14">
        <v>1.51254</v>
      </c>
      <c r="P15" s="14">
        <v>39.551700000000004</v>
      </c>
      <c r="Q15" s="14">
        <v>1.3790500000000001</v>
      </c>
      <c r="R15" s="4"/>
      <c r="S15" s="14">
        <f t="shared" ref="S15:S19" si="5">P15-N15</f>
        <v>-3.5351999999999961</v>
      </c>
      <c r="T15" s="15">
        <f t="shared" ref="T15:T19" si="6">SQRT(Q15*Q15+O15*O15)</f>
        <v>2.0468405297189127</v>
      </c>
      <c r="U15" s="15">
        <f t="shared" ref="U15:U19" si="7">S15/T15</f>
        <v>-1.7271496966524675</v>
      </c>
      <c r="V15" s="15">
        <f t="shared" ref="V15:V19" si="8">IF(U15&gt;0,(1-NORMSDIST(U15)),(NORMSDIST(U15)))</f>
        <v>4.2070391157738612E-2</v>
      </c>
      <c r="W15" s="16" t="str">
        <f t="shared" ref="W15:W19" si="9">IF(V15&lt;0.025,"Significativa","No significativa")</f>
        <v>No significativa</v>
      </c>
    </row>
    <row r="16" spans="1:23" ht="15" customHeight="1" x14ac:dyDescent="0.25">
      <c r="A16" s="13" t="s">
        <v>13</v>
      </c>
      <c r="B16" s="31">
        <v>28.322110000000002</v>
      </c>
      <c r="C16" s="14">
        <v>2.8377400000000002</v>
      </c>
      <c r="D16" s="14">
        <v>24.276890000000002</v>
      </c>
      <c r="E16" s="14">
        <v>1.7432400000000001</v>
      </c>
      <c r="F16" s="4"/>
      <c r="G16" s="14">
        <f t="shared" si="0"/>
        <v>-4.0452200000000005</v>
      </c>
      <c r="H16" s="15">
        <f t="shared" si="1"/>
        <v>3.330413488622697</v>
      </c>
      <c r="I16" s="15">
        <f t="shared" si="2"/>
        <v>-1.2146299592585765</v>
      </c>
      <c r="J16" s="15">
        <f t="shared" si="3"/>
        <v>0.11225362851739719</v>
      </c>
      <c r="K16" s="16" t="str">
        <f t="shared" si="4"/>
        <v>No significativa</v>
      </c>
      <c r="M16" s="13" t="s">
        <v>13</v>
      </c>
      <c r="N16" s="31">
        <v>23.264720000000001</v>
      </c>
      <c r="O16" s="14">
        <v>1.8471200000000001</v>
      </c>
      <c r="P16" s="14">
        <v>24.276890000000002</v>
      </c>
      <c r="Q16" s="14">
        <v>1.7432400000000001</v>
      </c>
      <c r="R16" s="4"/>
      <c r="S16" s="14">
        <f t="shared" si="5"/>
        <v>1.0121700000000011</v>
      </c>
      <c r="T16" s="15">
        <f t="shared" si="6"/>
        <v>2.5398303077174269</v>
      </c>
      <c r="U16" s="15">
        <f t="shared" si="7"/>
        <v>0.39851875021904487</v>
      </c>
      <c r="V16" s="15">
        <f t="shared" si="8"/>
        <v>0.34512391989105529</v>
      </c>
      <c r="W16" s="16" t="str">
        <f t="shared" si="9"/>
        <v>No significativa</v>
      </c>
    </row>
    <row r="17" spans="1:23" ht="15" customHeight="1" x14ac:dyDescent="0.25">
      <c r="A17" s="13" t="s">
        <v>14</v>
      </c>
      <c r="B17" s="14">
        <v>26.781650000000003</v>
      </c>
      <c r="C17" s="14">
        <v>1.97899</v>
      </c>
      <c r="D17" s="14">
        <v>24.143339999999998</v>
      </c>
      <c r="E17" s="14">
        <v>1.3824100000000001</v>
      </c>
      <c r="F17" s="4"/>
      <c r="G17" s="14">
        <f t="shared" si="0"/>
        <v>-2.6383100000000042</v>
      </c>
      <c r="H17" s="15">
        <f t="shared" si="1"/>
        <v>2.4140130132623563</v>
      </c>
      <c r="I17" s="15">
        <f t="shared" si="2"/>
        <v>-1.0929145723346898</v>
      </c>
      <c r="J17" s="15">
        <f t="shared" si="3"/>
        <v>0.13721565474781677</v>
      </c>
      <c r="K17" s="16" t="str">
        <f t="shared" si="4"/>
        <v>No significativa</v>
      </c>
      <c r="M17" s="13" t="s">
        <v>14</v>
      </c>
      <c r="N17" s="14">
        <v>22.50835</v>
      </c>
      <c r="O17" s="14">
        <v>1.43601</v>
      </c>
      <c r="P17" s="14">
        <v>24.143339999999998</v>
      </c>
      <c r="Q17" s="14">
        <v>1.3824100000000001</v>
      </c>
      <c r="R17" s="4"/>
      <c r="S17" s="14">
        <f t="shared" si="5"/>
        <v>1.6349899999999984</v>
      </c>
      <c r="T17" s="15">
        <f t="shared" si="6"/>
        <v>1.9932842567481439</v>
      </c>
      <c r="U17" s="15">
        <f t="shared" si="7"/>
        <v>0.82024929182319994</v>
      </c>
      <c r="V17" s="15">
        <f t="shared" si="8"/>
        <v>0.20603700361530297</v>
      </c>
      <c r="W17" s="16" t="str">
        <f t="shared" si="9"/>
        <v>No significativa</v>
      </c>
    </row>
    <row r="18" spans="1:23" ht="15" customHeight="1" x14ac:dyDescent="0.25">
      <c r="A18" s="13" t="s">
        <v>15</v>
      </c>
      <c r="B18" s="14">
        <v>1.4230700000000001</v>
      </c>
      <c r="C18" s="14">
        <v>0.33156999999999998</v>
      </c>
      <c r="D18" s="14">
        <v>2.4877199999999999</v>
      </c>
      <c r="E18" s="14">
        <v>0.32796999999999998</v>
      </c>
      <c r="F18" s="4"/>
      <c r="G18" s="14">
        <f t="shared" si="0"/>
        <v>1.0646499999999999</v>
      </c>
      <c r="H18" s="15">
        <f t="shared" si="1"/>
        <v>0.46637215375706126</v>
      </c>
      <c r="I18" s="15">
        <f t="shared" si="2"/>
        <v>2.2828335513243112</v>
      </c>
      <c r="J18" s="15">
        <f t="shared" si="3"/>
        <v>1.1220087409341217E-2</v>
      </c>
      <c r="K18" s="16" t="str">
        <f t="shared" si="4"/>
        <v>Significativa</v>
      </c>
      <c r="M18" s="13" t="s">
        <v>15</v>
      </c>
      <c r="N18" s="14">
        <v>2.6348799999999999</v>
      </c>
      <c r="O18" s="14">
        <v>0.41839999999999999</v>
      </c>
      <c r="P18" s="14">
        <v>2.4877199999999999</v>
      </c>
      <c r="Q18" s="14">
        <v>0.32796999999999998</v>
      </c>
      <c r="R18" s="4"/>
      <c r="S18" s="14">
        <f t="shared" si="5"/>
        <v>-0.14715999999999996</v>
      </c>
      <c r="T18" s="15">
        <f t="shared" si="6"/>
        <v>0.53162287469596337</v>
      </c>
      <c r="U18" s="15">
        <f t="shared" si="7"/>
        <v>-0.27681276898433155</v>
      </c>
      <c r="V18" s="15">
        <f t="shared" si="8"/>
        <v>0.39096193796517387</v>
      </c>
      <c r="W18" s="16" t="str">
        <f t="shared" si="9"/>
        <v>No significativa</v>
      </c>
    </row>
    <row r="19" spans="1:23" ht="15" customHeight="1" x14ac:dyDescent="0.25">
      <c r="A19" s="13" t="s">
        <v>16</v>
      </c>
      <c r="B19" s="14">
        <v>9.9918899999999997</v>
      </c>
      <c r="C19" s="14">
        <v>1.19157</v>
      </c>
      <c r="D19" s="14">
        <v>9.5403500000000001</v>
      </c>
      <c r="E19" s="14">
        <v>0.88973999999999998</v>
      </c>
      <c r="F19" s="4"/>
      <c r="G19" s="14">
        <f t="shared" si="0"/>
        <v>-0.45153999999999961</v>
      </c>
      <c r="H19" s="15">
        <f t="shared" si="1"/>
        <v>1.4871033361875026</v>
      </c>
      <c r="I19" s="15">
        <f t="shared" si="2"/>
        <v>-0.30363727187756562</v>
      </c>
      <c r="J19" s="15">
        <f t="shared" si="3"/>
        <v>0.38070212626607836</v>
      </c>
      <c r="K19" s="16" t="str">
        <f t="shared" si="4"/>
        <v>No significativa</v>
      </c>
      <c r="M19" s="13" t="s">
        <v>16</v>
      </c>
      <c r="N19" s="14">
        <v>8.5051500000000004</v>
      </c>
      <c r="O19" s="14">
        <v>0.98717999999999995</v>
      </c>
      <c r="P19" s="14">
        <v>9.5403500000000001</v>
      </c>
      <c r="Q19" s="14">
        <v>0.88973999999999998</v>
      </c>
      <c r="R19" s="4"/>
      <c r="S19" s="14">
        <f t="shared" si="5"/>
        <v>1.0351999999999997</v>
      </c>
      <c r="T19" s="15">
        <f t="shared" si="6"/>
        <v>1.328970135104623</v>
      </c>
      <c r="U19" s="15">
        <f t="shared" si="7"/>
        <v>0.77894903177677777</v>
      </c>
      <c r="V19" s="15">
        <f t="shared" si="8"/>
        <v>0.21800486957493881</v>
      </c>
      <c r="W19" s="16" t="str">
        <f t="shared" si="9"/>
        <v>No significativa</v>
      </c>
    </row>
    <row r="20" spans="1:23" ht="15" customHeight="1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88.585030000000003</v>
      </c>
      <c r="C21" s="14">
        <v>1.25169</v>
      </c>
      <c r="D21" s="14">
        <v>87.97193</v>
      </c>
      <c r="E21" s="14">
        <v>0.96454999999999991</v>
      </c>
      <c r="F21" s="4"/>
      <c r="G21" s="14">
        <f t="shared" ref="G21:G22" si="10">D21-B21</f>
        <v>-0.61310000000000286</v>
      </c>
      <c r="H21" s="15">
        <f t="shared" ref="H21:H22" si="11">SQRT(E21*E21+C21*C21)</f>
        <v>1.5802166176192427</v>
      </c>
      <c r="I21" s="15">
        <f t="shared" ref="I21:I22" si="12">G21/H21</f>
        <v>-0.38798478206342396</v>
      </c>
      <c r="J21" s="15">
        <f>IF(I21&gt;0,(1-NORMSDIST(I21)),(NORMSDIST(I21)))</f>
        <v>0.34901364768975635</v>
      </c>
      <c r="K21" s="16" t="str">
        <f t="shared" ref="K21:K22" si="13">IF(J21&lt;0.025,"Significativa","No significativa")</f>
        <v>No significativa</v>
      </c>
      <c r="M21" s="18" t="s">
        <v>18</v>
      </c>
      <c r="N21" s="14">
        <v>88.859970000000004</v>
      </c>
      <c r="O21" s="14">
        <v>1.0290000000000001</v>
      </c>
      <c r="P21" s="14">
        <v>87.97193</v>
      </c>
      <c r="Q21" s="14">
        <v>0.96454999999999991</v>
      </c>
      <c r="R21" s="4"/>
      <c r="S21" s="14">
        <f t="shared" ref="S21:S22" si="14">P21-N21</f>
        <v>-0.88804000000000372</v>
      </c>
      <c r="T21" s="15">
        <f t="shared" ref="T21:T22" si="15">SQRT(Q21*Q21+O21*O21)</f>
        <v>1.4103892024898661</v>
      </c>
      <c r="U21" s="15">
        <f t="shared" ref="U21:U22" si="16">S21/T21</f>
        <v>-0.62964180272529024</v>
      </c>
      <c r="V21" s="15">
        <f>IF(U21&gt;0,(1-NORMSDIST(U21)),(NORMSDIST(U21)))</f>
        <v>0.26446448347646156</v>
      </c>
      <c r="W21" s="16" t="str">
        <f t="shared" ref="W21:W22" si="17">IF(V21&lt;0.025,"Significativa","No significativa")</f>
        <v>No significativa</v>
      </c>
    </row>
    <row r="22" spans="1:23" x14ac:dyDescent="0.25">
      <c r="A22" s="18" t="s">
        <v>19</v>
      </c>
      <c r="B22" s="14">
        <v>60.516280000000002</v>
      </c>
      <c r="C22" s="14">
        <v>2.6592099999999999</v>
      </c>
      <c r="D22" s="14">
        <v>48.001010000000001</v>
      </c>
      <c r="E22" s="14">
        <v>1.50647</v>
      </c>
      <c r="F22" s="4"/>
      <c r="G22" s="14">
        <f t="shared" si="10"/>
        <v>-12.515270000000001</v>
      </c>
      <c r="H22" s="15">
        <f t="shared" si="11"/>
        <v>3.0562803675382924</v>
      </c>
      <c r="I22" s="15">
        <f t="shared" si="12"/>
        <v>-4.0949351809894763</v>
      </c>
      <c r="J22" s="15">
        <f>IF(I22&gt;0,(1-NORMSDIST(I22)),(NORMSDIST(I22)))</f>
        <v>2.1114325787358152E-5</v>
      </c>
      <c r="K22" s="16" t="str">
        <f t="shared" si="13"/>
        <v>Significativa</v>
      </c>
      <c r="M22" s="18" t="s">
        <v>19</v>
      </c>
      <c r="N22" s="14">
        <v>44.79665</v>
      </c>
      <c r="O22" s="14">
        <v>1.65744</v>
      </c>
      <c r="P22" s="14">
        <v>48.001010000000001</v>
      </c>
      <c r="Q22" s="14">
        <v>1.50647</v>
      </c>
      <c r="R22" s="4"/>
      <c r="S22" s="14">
        <f t="shared" si="14"/>
        <v>3.2043600000000012</v>
      </c>
      <c r="T22" s="15">
        <f t="shared" si="15"/>
        <v>2.2397676697595221</v>
      </c>
      <c r="U22" s="15">
        <f t="shared" si="16"/>
        <v>1.4306662442109652</v>
      </c>
      <c r="V22" s="15">
        <f>IF(U22&gt;0,(1-NORMSDIST(U22)),(NORMSDIST(U22)))</f>
        <v>7.6262945998082587E-2</v>
      </c>
      <c r="W22" s="16" t="str">
        <f t="shared" si="17"/>
        <v>No 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ht="25.5" customHeight="1" x14ac:dyDescent="0.25">
      <c r="A24" s="20" t="s">
        <v>21</v>
      </c>
      <c r="B24" s="14">
        <v>30.620950000000001</v>
      </c>
      <c r="C24" s="14">
        <v>1.3214300000000001</v>
      </c>
      <c r="D24" s="14">
        <v>26.37715</v>
      </c>
      <c r="E24" s="14">
        <v>0.94246999999999992</v>
      </c>
      <c r="F24" s="4"/>
      <c r="G24" s="14">
        <f t="shared" ref="G24:G29" si="18">D24-B24</f>
        <v>-4.2438000000000002</v>
      </c>
      <c r="H24" s="15">
        <f t="shared" ref="H24:H29" si="19">SQRT(E24*E24+C24*C24)</f>
        <v>1.6230917860059548</v>
      </c>
      <c r="I24" s="15">
        <f t="shared" ref="I24:I29" si="20">G24/H24</f>
        <v>-2.614639564188165</v>
      </c>
      <c r="J24" s="15">
        <f t="shared" ref="J24:J29" si="21">IF(I24&gt;0,(1-NORMSDIST(I24)),(NORMSDIST(I24)))</f>
        <v>4.4660829920446709E-3</v>
      </c>
      <c r="K24" s="16" t="str">
        <f t="shared" ref="K24:K29" si="22">IF(J24&lt;0.025,"Significativa","No significativa")</f>
        <v>Significativa</v>
      </c>
      <c r="M24" s="20" t="s">
        <v>21</v>
      </c>
      <c r="N24" s="14">
        <v>27.060630000000003</v>
      </c>
      <c r="O24" s="14">
        <v>1.0037199999999999</v>
      </c>
      <c r="P24" s="14">
        <v>26.37715</v>
      </c>
      <c r="Q24" s="14">
        <v>0.94246999999999992</v>
      </c>
      <c r="R24" s="4"/>
      <c r="S24" s="14">
        <f t="shared" ref="S24:S29" si="23">P24-N24</f>
        <v>-0.68348000000000297</v>
      </c>
      <c r="T24" s="15">
        <f t="shared" ref="T24:T29" si="24">SQRT(Q24*Q24+O24*O24)</f>
        <v>1.3768455030612547</v>
      </c>
      <c r="U24" s="15">
        <f t="shared" ref="U24:U29" si="25">S24/T24</f>
        <v>-0.49641008993410318</v>
      </c>
      <c r="V24" s="15">
        <f t="shared" ref="V24:V29" si="26">IF(U24&gt;0,(1-NORMSDIST(U24)),(NORMSDIST(U24)))</f>
        <v>0.30980255385346556</v>
      </c>
      <c r="W24" s="16" t="str">
        <f t="shared" ref="W24:W29" si="27">IF(V24&lt;0.025,"Significativa","No significativa")</f>
        <v>No significativa</v>
      </c>
    </row>
    <row r="25" spans="1:23" x14ac:dyDescent="0.25">
      <c r="A25" s="18" t="s">
        <v>22</v>
      </c>
      <c r="B25" s="14">
        <v>54.768349999999998</v>
      </c>
      <c r="C25" s="14">
        <v>3.0462199999999999</v>
      </c>
      <c r="D25" s="14">
        <v>36.924759999999999</v>
      </c>
      <c r="E25" s="14">
        <v>1.3311999999999999</v>
      </c>
      <c r="F25" s="4"/>
      <c r="G25" s="14">
        <f t="shared" si="18"/>
        <v>-17.843589999999999</v>
      </c>
      <c r="H25" s="15">
        <f t="shared" si="19"/>
        <v>3.3243871207186442</v>
      </c>
      <c r="I25" s="15">
        <f t="shared" si="20"/>
        <v>-5.3674825921424842</v>
      </c>
      <c r="J25" s="15">
        <f t="shared" si="21"/>
        <v>3.9921605851254495E-8</v>
      </c>
      <c r="K25" s="16" t="str">
        <f t="shared" si="22"/>
        <v>Significativa</v>
      </c>
      <c r="M25" s="18" t="s">
        <v>22</v>
      </c>
      <c r="N25" s="14">
        <v>16.256719999999998</v>
      </c>
      <c r="O25" s="14">
        <v>0.6946</v>
      </c>
      <c r="P25" s="14">
        <v>36.924759999999999</v>
      </c>
      <c r="Q25" s="14">
        <v>1.3311999999999999</v>
      </c>
      <c r="R25" s="4"/>
      <c r="S25" s="14">
        <f t="shared" si="23"/>
        <v>20.668040000000001</v>
      </c>
      <c r="T25" s="15">
        <f t="shared" si="24"/>
        <v>1.5015200964356088</v>
      </c>
      <c r="U25" s="15">
        <f t="shared" si="25"/>
        <v>13.764744174295725</v>
      </c>
      <c r="V25" s="15">
        <f t="shared" si="26"/>
        <v>0</v>
      </c>
      <c r="W25" s="16" t="str">
        <f t="shared" si="27"/>
        <v>Significativa</v>
      </c>
    </row>
    <row r="26" spans="1:23" x14ac:dyDescent="0.25">
      <c r="A26" s="18" t="s">
        <v>23</v>
      </c>
      <c r="B26" s="14">
        <v>80.415149999999997</v>
      </c>
      <c r="C26" s="14">
        <v>1.6623999999999999</v>
      </c>
      <c r="D26" s="14">
        <v>73.236909999999995</v>
      </c>
      <c r="E26" s="14">
        <v>1.2309999999999999</v>
      </c>
      <c r="F26" s="4"/>
      <c r="G26" s="14">
        <f t="shared" si="18"/>
        <v>-7.1782400000000024</v>
      </c>
      <c r="H26" s="15">
        <f t="shared" si="19"/>
        <v>2.068558618942185</v>
      </c>
      <c r="I26" s="15">
        <f t="shared" si="20"/>
        <v>-3.4701651354075698</v>
      </c>
      <c r="J26" s="15">
        <f t="shared" si="21"/>
        <v>2.600692348638265E-4</v>
      </c>
      <c r="K26" s="16" t="str">
        <f t="shared" si="22"/>
        <v>Significativa</v>
      </c>
      <c r="M26" s="18" t="s">
        <v>23</v>
      </c>
      <c r="N26" s="14">
        <v>76.175470000000004</v>
      </c>
      <c r="O26" s="14">
        <v>1.19156</v>
      </c>
      <c r="P26" s="14">
        <v>73.236909999999995</v>
      </c>
      <c r="Q26" s="14">
        <v>1.2309999999999999</v>
      </c>
      <c r="R26" s="4"/>
      <c r="S26" s="14">
        <f t="shared" si="23"/>
        <v>-2.9385600000000096</v>
      </c>
      <c r="T26" s="15">
        <f t="shared" si="24"/>
        <v>1.71323560364592</v>
      </c>
      <c r="U26" s="15">
        <f t="shared" si="25"/>
        <v>-1.7152106772393061</v>
      </c>
      <c r="V26" s="15">
        <f t="shared" si="26"/>
        <v>4.3153303995415178E-2</v>
      </c>
      <c r="W26" s="16" t="str">
        <f t="shared" si="27"/>
        <v>No significativa</v>
      </c>
    </row>
    <row r="27" spans="1:23" x14ac:dyDescent="0.25">
      <c r="A27" s="18" t="s">
        <v>24</v>
      </c>
      <c r="B27" s="14">
        <v>38.213940000000001</v>
      </c>
      <c r="C27" s="14">
        <v>2.89757</v>
      </c>
      <c r="D27" s="14">
        <v>22.69903</v>
      </c>
      <c r="E27" s="14">
        <v>1.5304599999999999</v>
      </c>
      <c r="F27" s="4"/>
      <c r="G27" s="14">
        <f t="shared" si="18"/>
        <v>-15.51491</v>
      </c>
      <c r="H27" s="15">
        <f t="shared" si="19"/>
        <v>3.2769222933264683</v>
      </c>
      <c r="I27" s="15">
        <f t="shared" si="20"/>
        <v>-4.7345980805210095</v>
      </c>
      <c r="J27" s="15">
        <f t="shared" si="21"/>
        <v>1.0974480584273318E-6</v>
      </c>
      <c r="K27" s="16" t="str">
        <f t="shared" si="22"/>
        <v>Significativa</v>
      </c>
      <c r="M27" s="18" t="s">
        <v>24</v>
      </c>
      <c r="N27" s="14">
        <v>25.114999999999998</v>
      </c>
      <c r="O27" s="14">
        <v>1.9034700000000002</v>
      </c>
      <c r="P27" s="14">
        <v>22.69903</v>
      </c>
      <c r="Q27" s="14">
        <v>1.5304599999999999</v>
      </c>
      <c r="R27" s="4"/>
      <c r="S27" s="14">
        <f t="shared" si="23"/>
        <v>-2.415969999999998</v>
      </c>
      <c r="T27" s="15">
        <f t="shared" si="24"/>
        <v>2.442438505367126</v>
      </c>
      <c r="U27" s="15">
        <f t="shared" si="25"/>
        <v>-0.98916308217833737</v>
      </c>
      <c r="V27" s="15">
        <f t="shared" si="26"/>
        <v>0.16129167888391149</v>
      </c>
      <c r="W27" s="16" t="str">
        <f t="shared" si="27"/>
        <v>No significativa</v>
      </c>
    </row>
    <row r="28" spans="1:23" x14ac:dyDescent="0.25">
      <c r="A28" s="18" t="s">
        <v>25</v>
      </c>
      <c r="B28" s="14">
        <v>57.256260000000005</v>
      </c>
      <c r="C28" s="14">
        <v>2.8955600000000001</v>
      </c>
      <c r="D28" s="14">
        <v>53.686990000000002</v>
      </c>
      <c r="E28" s="14">
        <v>1.6375600000000001</v>
      </c>
      <c r="F28" s="4"/>
      <c r="G28" s="14">
        <f t="shared" si="18"/>
        <v>-3.5692700000000031</v>
      </c>
      <c r="H28" s="15">
        <f t="shared" si="19"/>
        <v>3.3265403149819184</v>
      </c>
      <c r="I28" s="15">
        <f t="shared" si="20"/>
        <v>-1.0729676065926181</v>
      </c>
      <c r="J28" s="15">
        <f t="shared" si="21"/>
        <v>0.14164282525232694</v>
      </c>
      <c r="K28" s="16" t="str">
        <f t="shared" si="22"/>
        <v>No significativa</v>
      </c>
      <c r="M28" s="18" t="s">
        <v>25</v>
      </c>
      <c r="N28" s="14">
        <v>58.27816</v>
      </c>
      <c r="O28" s="14">
        <v>1.7613099999999999</v>
      </c>
      <c r="P28" s="14">
        <v>53.686990000000002</v>
      </c>
      <c r="Q28" s="14">
        <v>1.6375600000000001</v>
      </c>
      <c r="R28" s="4"/>
      <c r="S28" s="14">
        <f t="shared" si="23"/>
        <v>-4.5911699999999982</v>
      </c>
      <c r="T28" s="15">
        <f t="shared" si="24"/>
        <v>2.4049564797933454</v>
      </c>
      <c r="U28" s="15">
        <f t="shared" si="25"/>
        <v>-1.9090449405531493</v>
      </c>
      <c r="V28" s="15">
        <f t="shared" si="26"/>
        <v>2.8128147259900232E-2</v>
      </c>
      <c r="W28" s="16" t="str">
        <f t="shared" si="27"/>
        <v>No significativa</v>
      </c>
    </row>
    <row r="29" spans="1:23" x14ac:dyDescent="0.25">
      <c r="A29" s="18" t="s">
        <v>26</v>
      </c>
      <c r="B29" s="14">
        <v>28.577000000000002</v>
      </c>
      <c r="C29" s="14">
        <v>2.94312</v>
      </c>
      <c r="D29" s="14">
        <v>28.439330000000002</v>
      </c>
      <c r="E29" s="14">
        <v>1.43083</v>
      </c>
      <c r="F29" s="4"/>
      <c r="G29" s="14">
        <f t="shared" si="18"/>
        <v>-0.13766999999999996</v>
      </c>
      <c r="H29" s="15">
        <f t="shared" si="19"/>
        <v>3.2724959623046135</v>
      </c>
      <c r="I29" s="15">
        <f t="shared" si="20"/>
        <v>-4.2068806680222032E-2</v>
      </c>
      <c r="J29" s="15">
        <f t="shared" si="21"/>
        <v>0.4832219234051035</v>
      </c>
      <c r="K29" s="16" t="str">
        <f t="shared" si="22"/>
        <v>No significativa</v>
      </c>
      <c r="M29" s="18" t="s">
        <v>26</v>
      </c>
      <c r="N29" s="14">
        <v>27.917819999999999</v>
      </c>
      <c r="O29" s="14">
        <v>1.5002200000000001</v>
      </c>
      <c r="P29" s="14">
        <v>28.439330000000002</v>
      </c>
      <c r="Q29" s="14">
        <v>1.43083</v>
      </c>
      <c r="R29" s="4"/>
      <c r="S29" s="14">
        <f t="shared" si="23"/>
        <v>0.5215100000000028</v>
      </c>
      <c r="T29" s="15">
        <f t="shared" si="24"/>
        <v>2.0731460482320103</v>
      </c>
      <c r="U29" s="15">
        <f t="shared" si="25"/>
        <v>0.25155487740226951</v>
      </c>
      <c r="V29" s="15">
        <f t="shared" si="26"/>
        <v>0.40069256988034652</v>
      </c>
      <c r="W29" s="16" t="str">
        <f t="shared" si="27"/>
        <v>No 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32.947090000000003</v>
      </c>
      <c r="C31" s="14">
        <v>2.78199</v>
      </c>
      <c r="D31" s="14">
        <v>36.605179999999997</v>
      </c>
      <c r="E31" s="14">
        <v>1.9360200000000001</v>
      </c>
      <c r="F31" s="22"/>
      <c r="G31" s="14">
        <f t="shared" ref="G31:G32" si="28">D31-B31</f>
        <v>3.6580899999999943</v>
      </c>
      <c r="H31" s="15">
        <f t="shared" ref="H31:H32" si="29">SQRT(E31*E31+C31*C31)</f>
        <v>3.3893423846669726</v>
      </c>
      <c r="I31" s="15">
        <f t="shared" ref="I31:I32" si="30">G31/H31</f>
        <v>1.0792919642904204</v>
      </c>
      <c r="J31" s="15">
        <f>IF(I31&gt;0,(1-NORMSDIST(I31)),(NORMSDIST(I31)))</f>
        <v>0.14022879699343405</v>
      </c>
      <c r="K31" s="16" t="str">
        <f t="shared" ref="K31:K32" si="31">IF(J31&lt;0.025,"Significativa","No significativa")</f>
        <v>No significativa</v>
      </c>
      <c r="M31" s="21" t="s">
        <v>28</v>
      </c>
      <c r="N31" s="14">
        <v>37.447710000000001</v>
      </c>
      <c r="O31" s="14">
        <v>2.1895199999999999</v>
      </c>
      <c r="P31" s="14">
        <v>36.605179999999997</v>
      </c>
      <c r="Q31" s="14">
        <v>1.9360200000000001</v>
      </c>
      <c r="R31" s="22"/>
      <c r="S31" s="14">
        <f t="shared" ref="S31:S32" si="32">P31-N31</f>
        <v>-0.84253000000000355</v>
      </c>
      <c r="T31" s="15">
        <f t="shared" ref="T31:T32" si="33">SQRT(Q31*Q31+O31*O31)</f>
        <v>2.9226993124165204</v>
      </c>
      <c r="U31" s="15">
        <f t="shared" ref="U31:U32" si="34">S31/T31</f>
        <v>-0.28827118698823329</v>
      </c>
      <c r="V31" s="15">
        <f>IF(U31&gt;0,(1-NORMSDIST(U31)),(NORMSDIST(U31)))</f>
        <v>0.38656958043857104</v>
      </c>
      <c r="W31" s="16" t="str">
        <f t="shared" ref="W31:W32" si="35">IF(V31&lt;0.025,"Significativa","No significativa")</f>
        <v>No significativa</v>
      </c>
    </row>
    <row r="32" spans="1:23" ht="15" customHeight="1" thickBot="1" x14ac:dyDescent="0.3">
      <c r="A32" s="23" t="s">
        <v>29</v>
      </c>
      <c r="B32" s="30">
        <v>63.22645</v>
      </c>
      <c r="C32" s="30">
        <v>2.62913</v>
      </c>
      <c r="D32" s="30">
        <v>66.316310000000001</v>
      </c>
      <c r="E32" s="30">
        <v>1.6878400000000002</v>
      </c>
      <c r="F32" s="24"/>
      <c r="G32" s="30">
        <f t="shared" si="28"/>
        <v>3.0898600000000016</v>
      </c>
      <c r="H32" s="25">
        <f t="shared" si="29"/>
        <v>3.1242804647630469</v>
      </c>
      <c r="I32" s="25">
        <f t="shared" si="30"/>
        <v>0.98898291457785115</v>
      </c>
      <c r="J32" s="25">
        <f>IF(I32&gt;0,(1-NORMSDIST(I32)),(NORMSDIST(I32)))</f>
        <v>0.161335750515472</v>
      </c>
      <c r="K32" s="26" t="str">
        <f t="shared" si="31"/>
        <v>No significativa</v>
      </c>
      <c r="M32" s="23" t="s">
        <v>29</v>
      </c>
      <c r="N32" s="30">
        <v>68.986499999999992</v>
      </c>
      <c r="O32" s="30">
        <v>1.7754800000000002</v>
      </c>
      <c r="P32" s="30">
        <v>66.316310000000001</v>
      </c>
      <c r="Q32" s="30">
        <v>1.6878400000000002</v>
      </c>
      <c r="R32" s="24"/>
      <c r="S32" s="30">
        <f t="shared" si="32"/>
        <v>-2.670189999999991</v>
      </c>
      <c r="T32" s="25">
        <f t="shared" si="33"/>
        <v>2.4497210241168283</v>
      </c>
      <c r="U32" s="25">
        <f t="shared" si="34"/>
        <v>-1.0899975849138357</v>
      </c>
      <c r="V32" s="25">
        <f>IF(U32&gt;0,(1-NORMSDIST(U32)),(NORMSDIST(U32)))</f>
        <v>0.13785710395731493</v>
      </c>
      <c r="W32" s="26" t="str">
        <f t="shared" si="35"/>
        <v>No 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S12:T12"/>
    <mergeCell ref="V11:V12"/>
    <mergeCell ref="W11:W12"/>
    <mergeCell ref="M9:W9"/>
    <mergeCell ref="M10:W10"/>
    <mergeCell ref="M11:M12"/>
    <mergeCell ref="N11:O11"/>
    <mergeCell ref="P11:Q11"/>
    <mergeCell ref="U11:U12"/>
    <mergeCell ref="I11:I12"/>
    <mergeCell ref="J11:J12"/>
    <mergeCell ref="K11:K12"/>
    <mergeCell ref="G12:H12"/>
    <mergeCell ref="A9:K9"/>
    <mergeCell ref="A10:K10"/>
    <mergeCell ref="A11:A12"/>
    <mergeCell ref="B11:C11"/>
    <mergeCell ref="D11:E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6D90-3D7A-4D3E-A12A-10338E69373B}">
  <dimension ref="A9:W34"/>
  <sheetViews>
    <sheetView workbookViewId="0">
      <selection activeCell="A9" sqref="A9:K9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customHeight="1" x14ac:dyDescent="0.25">
      <c r="A9" s="54" t="s">
        <v>41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42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ht="15" customHeight="1" x14ac:dyDescent="0.25">
      <c r="A14" s="13" t="s">
        <v>11</v>
      </c>
      <c r="B14" s="14">
        <v>64.55153</v>
      </c>
      <c r="C14" s="14">
        <v>1.7934399999999999</v>
      </c>
      <c r="D14" s="14">
        <v>63.369830000000007</v>
      </c>
      <c r="E14" s="14">
        <v>1.30928</v>
      </c>
      <c r="F14" s="4"/>
      <c r="G14" s="14">
        <f>D14-B14</f>
        <v>-1.1816999999999922</v>
      </c>
      <c r="H14" s="15">
        <f>SQRT(E14*E14+C14*C14)</f>
        <v>2.2205047065926249</v>
      </c>
      <c r="I14" s="15">
        <f>G14/H14</f>
        <v>-0.5321763095081733</v>
      </c>
      <c r="J14" s="15">
        <f>IF(I14&gt;0,(1-NORMSDIST(I14)),(NORMSDIST(I14)))</f>
        <v>0.29730194467609217</v>
      </c>
      <c r="K14" s="16" t="str">
        <f>IF(J14&lt;0.025,"Significativa","No significativa")</f>
        <v>No significativa</v>
      </c>
      <c r="M14" s="13" t="s">
        <v>11</v>
      </c>
      <c r="N14" s="14">
        <v>58.916719999999998</v>
      </c>
      <c r="O14" s="14">
        <v>1.5899699999999999</v>
      </c>
      <c r="P14" s="14">
        <v>63.369830000000007</v>
      </c>
      <c r="Q14" s="14">
        <v>1.30928</v>
      </c>
      <c r="R14" s="4"/>
      <c r="S14" s="14">
        <f>P14-N14</f>
        <v>4.4531100000000094</v>
      </c>
      <c r="T14" s="15">
        <f>SQRT(Q14*Q14+O14*O14)</f>
        <v>2.0596647104079828</v>
      </c>
      <c r="U14" s="15">
        <f>S14/T14</f>
        <v>2.1620557838843233</v>
      </c>
      <c r="V14" s="15">
        <f>IF(U14&gt;0,(1-NORMSDIST(U14)),(NORMSDIST(U14)))</f>
        <v>1.5306938319023855E-2</v>
      </c>
      <c r="W14" s="16" t="str">
        <f>IF(V14&lt;0.025,"Significativa","No significativa")</f>
        <v>Significativa</v>
      </c>
    </row>
    <row r="15" spans="1:23" ht="15" customHeight="1" x14ac:dyDescent="0.25">
      <c r="A15" s="13" t="s">
        <v>12</v>
      </c>
      <c r="B15" s="14">
        <v>45.596579999999996</v>
      </c>
      <c r="C15" s="14">
        <v>1.73967</v>
      </c>
      <c r="D15" s="14">
        <v>49.553660000000001</v>
      </c>
      <c r="E15" s="14">
        <v>1.22312</v>
      </c>
      <c r="F15" s="4"/>
      <c r="G15" s="14">
        <f t="shared" ref="G15:G19" si="0">D15-B15</f>
        <v>3.9570800000000048</v>
      </c>
      <c r="H15" s="15">
        <f t="shared" ref="H15:H19" si="1">SQRT(E15*E15+C15*C15)</f>
        <v>2.1266109760132434</v>
      </c>
      <c r="I15" s="15">
        <f t="shared" ref="I15:I19" si="2">G15/H15</f>
        <v>1.8607446517643489</v>
      </c>
      <c r="J15" s="15">
        <f t="shared" ref="J15:J19" si="3">IF(I15&gt;0,(1-NORMSDIST(I15)),(NORMSDIST(I15)))</f>
        <v>3.1390122490151939E-2</v>
      </c>
      <c r="K15" s="16" t="str">
        <f t="shared" ref="K15:K19" si="4">IF(J15&lt;0.025,"Significativa","No significativa")</f>
        <v>No significativa</v>
      </c>
      <c r="M15" s="13" t="s">
        <v>12</v>
      </c>
      <c r="N15" s="14">
        <v>50.27684</v>
      </c>
      <c r="O15" s="14">
        <v>1.3922600000000001</v>
      </c>
      <c r="P15" s="14">
        <v>49.553660000000001</v>
      </c>
      <c r="Q15" s="14">
        <v>1.22312</v>
      </c>
      <c r="R15" s="4"/>
      <c r="S15" s="14">
        <f t="shared" ref="S15:S19" si="5">P15-N15</f>
        <v>-0.72317999999999927</v>
      </c>
      <c r="T15" s="15">
        <f t="shared" ref="T15:T19" si="6">SQRT(Q15*Q15+O15*O15)</f>
        <v>1.8532162426441228</v>
      </c>
      <c r="U15" s="15">
        <f t="shared" ref="U15:U19" si="7">S15/T15</f>
        <v>-0.39022969007015829</v>
      </c>
      <c r="V15" s="15">
        <f t="shared" ref="V15:V19" si="8">IF(U15&gt;0,(1-NORMSDIST(U15)),(NORMSDIST(U15)))</f>
        <v>0.34818335449060189</v>
      </c>
      <c r="W15" s="16" t="str">
        <f t="shared" ref="W15:W19" si="9">IF(V15&lt;0.025,"Significativa","No significativa")</f>
        <v>No significativa</v>
      </c>
    </row>
    <row r="16" spans="1:23" ht="15" customHeight="1" x14ac:dyDescent="0.25">
      <c r="A16" s="13" t="s">
        <v>13</v>
      </c>
      <c r="B16" s="31">
        <v>18.95495</v>
      </c>
      <c r="C16" s="14">
        <v>1.71488</v>
      </c>
      <c r="D16" s="14">
        <v>13.81617</v>
      </c>
      <c r="E16" s="14">
        <v>1.0139</v>
      </c>
      <c r="F16" s="4"/>
      <c r="G16" s="14">
        <f t="shared" si="0"/>
        <v>-5.1387800000000006</v>
      </c>
      <c r="H16" s="15">
        <f t="shared" si="1"/>
        <v>1.992186392986359</v>
      </c>
      <c r="I16" s="15">
        <f t="shared" si="2"/>
        <v>-2.5794674725675568</v>
      </c>
      <c r="J16" s="15">
        <f t="shared" si="3"/>
        <v>4.9476388559412674E-3</v>
      </c>
      <c r="K16" s="16" t="str">
        <f t="shared" si="4"/>
        <v>Significativa</v>
      </c>
      <c r="M16" s="13" t="s">
        <v>13</v>
      </c>
      <c r="N16" s="31">
        <v>8.6398799999999998</v>
      </c>
      <c r="O16" s="14">
        <v>0.88676999999999995</v>
      </c>
      <c r="P16" s="14">
        <v>13.81617</v>
      </c>
      <c r="Q16" s="14">
        <v>1.0139</v>
      </c>
      <c r="R16" s="4"/>
      <c r="S16" s="14">
        <f t="shared" si="5"/>
        <v>5.1762899999999998</v>
      </c>
      <c r="T16" s="15">
        <f t="shared" si="6"/>
        <v>1.3469796742712934</v>
      </c>
      <c r="U16" s="15">
        <f t="shared" si="7"/>
        <v>3.8428864955221664</v>
      </c>
      <c r="V16" s="15">
        <f t="shared" si="8"/>
        <v>6.0797856395233829E-5</v>
      </c>
      <c r="W16" s="16" t="str">
        <f t="shared" si="9"/>
        <v>Significativa</v>
      </c>
    </row>
    <row r="17" spans="1:23" ht="15" customHeight="1" x14ac:dyDescent="0.25">
      <c r="A17" s="13" t="s">
        <v>14</v>
      </c>
      <c r="B17" s="14">
        <v>22.610009999999999</v>
      </c>
      <c r="C17" s="14">
        <v>1.6045899999999997</v>
      </c>
      <c r="D17" s="14">
        <v>18.460989999999999</v>
      </c>
      <c r="E17" s="14">
        <v>1.0281500000000001</v>
      </c>
      <c r="F17" s="4"/>
      <c r="G17" s="14">
        <f t="shared" si="0"/>
        <v>-4.1490200000000002</v>
      </c>
      <c r="H17" s="15">
        <f t="shared" si="1"/>
        <v>1.9057285983581187</v>
      </c>
      <c r="I17" s="15">
        <f t="shared" si="2"/>
        <v>-2.1771305754526589</v>
      </c>
      <c r="J17" s="15">
        <f t="shared" si="3"/>
        <v>1.4735413174045187E-2</v>
      </c>
      <c r="K17" s="16" t="str">
        <f t="shared" si="4"/>
        <v>Significativa</v>
      </c>
      <c r="M17" s="13" t="s">
        <v>14</v>
      </c>
      <c r="N17" s="14">
        <v>23.22964</v>
      </c>
      <c r="O17" s="14">
        <v>1.28518</v>
      </c>
      <c r="P17" s="14">
        <v>18.460989999999999</v>
      </c>
      <c r="Q17" s="14">
        <v>1.0281500000000001</v>
      </c>
      <c r="R17" s="4"/>
      <c r="S17" s="14">
        <f t="shared" si="5"/>
        <v>-4.7686500000000009</v>
      </c>
      <c r="T17" s="15">
        <f t="shared" si="6"/>
        <v>1.6458371896697437</v>
      </c>
      <c r="U17" s="15">
        <f t="shared" si="7"/>
        <v>-2.8974008060644723</v>
      </c>
      <c r="V17" s="15">
        <f t="shared" si="8"/>
        <v>1.881343526366489E-3</v>
      </c>
      <c r="W17" s="16" t="str">
        <f t="shared" si="9"/>
        <v>Significativa</v>
      </c>
    </row>
    <row r="18" spans="1:23" ht="15" customHeight="1" x14ac:dyDescent="0.25">
      <c r="A18" s="13" t="s">
        <v>15</v>
      </c>
      <c r="B18" s="14">
        <v>4.0421300000000002</v>
      </c>
      <c r="C18" s="14">
        <v>0.44238000000000005</v>
      </c>
      <c r="D18" s="14">
        <v>6.8293699999999999</v>
      </c>
      <c r="E18" s="14">
        <v>0.63995000000000002</v>
      </c>
      <c r="F18" s="4"/>
      <c r="G18" s="14">
        <f t="shared" si="0"/>
        <v>2.7872399999999997</v>
      </c>
      <c r="H18" s="15">
        <f t="shared" si="1"/>
        <v>0.7779691940559087</v>
      </c>
      <c r="I18" s="15">
        <f t="shared" si="2"/>
        <v>3.5827125563530924</v>
      </c>
      <c r="J18" s="15">
        <f t="shared" si="3"/>
        <v>1.7002236101903989E-4</v>
      </c>
      <c r="K18" s="16" t="str">
        <f t="shared" si="4"/>
        <v>Significativa</v>
      </c>
      <c r="M18" s="13" t="s">
        <v>15</v>
      </c>
      <c r="N18" s="14">
        <v>6.1239599999999994</v>
      </c>
      <c r="O18" s="14">
        <v>0.64251999999999998</v>
      </c>
      <c r="P18" s="14">
        <v>6.8293699999999999</v>
      </c>
      <c r="Q18" s="14">
        <v>0.63995000000000002</v>
      </c>
      <c r="R18" s="4"/>
      <c r="S18" s="14">
        <f t="shared" si="5"/>
        <v>0.70541000000000054</v>
      </c>
      <c r="T18" s="15">
        <f t="shared" si="6"/>
        <v>0.90684505451593</v>
      </c>
      <c r="U18" s="15">
        <f t="shared" si="7"/>
        <v>0.77787268782818186</v>
      </c>
      <c r="V18" s="15">
        <f t="shared" si="8"/>
        <v>0.21832203549970508</v>
      </c>
      <c r="W18" s="16" t="str">
        <f t="shared" si="9"/>
        <v>No significativa</v>
      </c>
    </row>
    <row r="19" spans="1:23" ht="15" customHeight="1" x14ac:dyDescent="0.25">
      <c r="A19" s="13" t="s">
        <v>16</v>
      </c>
      <c r="B19" s="14">
        <v>8.7963199999999997</v>
      </c>
      <c r="C19" s="14">
        <v>0.73552000000000006</v>
      </c>
      <c r="D19" s="14">
        <v>11.33982</v>
      </c>
      <c r="E19" s="14">
        <v>0.88550999999999991</v>
      </c>
      <c r="F19" s="4"/>
      <c r="G19" s="14">
        <f t="shared" si="0"/>
        <v>2.5434999999999999</v>
      </c>
      <c r="H19" s="15">
        <f t="shared" si="1"/>
        <v>1.1511375376122523</v>
      </c>
      <c r="I19" s="15">
        <f t="shared" si="2"/>
        <v>2.2095535215330186</v>
      </c>
      <c r="J19" s="15">
        <f t="shared" si="3"/>
        <v>1.3568082014162486E-2</v>
      </c>
      <c r="K19" s="16" t="str">
        <f t="shared" si="4"/>
        <v>Significativa</v>
      </c>
      <c r="M19" s="13" t="s">
        <v>16</v>
      </c>
      <c r="N19" s="14">
        <v>11.72968</v>
      </c>
      <c r="O19" s="14">
        <v>0.83792</v>
      </c>
      <c r="P19" s="14">
        <v>11.33982</v>
      </c>
      <c r="Q19" s="14">
        <v>0.88550999999999991</v>
      </c>
      <c r="R19" s="4"/>
      <c r="S19" s="14">
        <f t="shared" si="5"/>
        <v>-0.38986000000000054</v>
      </c>
      <c r="T19" s="15">
        <f t="shared" si="6"/>
        <v>1.2191135658748122</v>
      </c>
      <c r="U19" s="15">
        <f t="shared" si="7"/>
        <v>-0.3197897315827542</v>
      </c>
      <c r="V19" s="15">
        <f t="shared" si="8"/>
        <v>0.37456386610625531</v>
      </c>
      <c r="W19" s="16" t="str">
        <f t="shared" si="9"/>
        <v>No significativa</v>
      </c>
    </row>
    <row r="20" spans="1:23" ht="15" customHeight="1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87.161540000000002</v>
      </c>
      <c r="C21" s="14">
        <v>0.88308999999999993</v>
      </c>
      <c r="D21" s="14">
        <v>81.83081</v>
      </c>
      <c r="E21" s="14">
        <v>1.00641</v>
      </c>
      <c r="F21" s="4"/>
      <c r="G21" s="14">
        <f t="shared" ref="G21:G22" si="10">D21-B21</f>
        <v>-5.3307300000000026</v>
      </c>
      <c r="H21" s="15">
        <f t="shared" ref="H21:H22" si="11">SQRT(E21*E21+C21*C21)</f>
        <v>1.3389208476231893</v>
      </c>
      <c r="I21" s="15">
        <f t="shared" ref="I21:I22" si="12">G21/H21</f>
        <v>-3.981363057766222</v>
      </c>
      <c r="J21" s="15">
        <f>IF(I21&gt;0,(1-NORMSDIST(I21)),(NORMSDIST(I21)))</f>
        <v>3.4260597221066418E-5</v>
      </c>
      <c r="K21" s="16" t="str">
        <f t="shared" ref="K21:K22" si="13">IF(J21&lt;0.025,"Significativa","No significativa")</f>
        <v>Significativa</v>
      </c>
      <c r="M21" s="18" t="s">
        <v>18</v>
      </c>
      <c r="N21" s="14">
        <v>82.146360000000001</v>
      </c>
      <c r="O21" s="14">
        <v>1.12452</v>
      </c>
      <c r="P21" s="14">
        <v>81.83081</v>
      </c>
      <c r="Q21" s="14">
        <v>1.00641</v>
      </c>
      <c r="R21" s="4"/>
      <c r="S21" s="14">
        <f t="shared" ref="S21:S22" si="14">P21-N21</f>
        <v>-0.31555000000000177</v>
      </c>
      <c r="T21" s="15">
        <f t="shared" ref="T21:T22" si="15">SQRT(Q21*Q21+O21*O21)</f>
        <v>1.5091077888938218</v>
      </c>
      <c r="U21" s="15">
        <f t="shared" ref="U21:U22" si="16">S21/T21</f>
        <v>-0.20909705875370266</v>
      </c>
      <c r="V21" s="15">
        <f>IF(U21&gt;0,(1-NORMSDIST(U21)),(NORMSDIST(U21)))</f>
        <v>0.41718623536643218</v>
      </c>
      <c r="W21" s="16" t="str">
        <f t="shared" ref="W21:W22" si="17">IF(V21&lt;0.025,"Significativa","No significativa")</f>
        <v>No significativa</v>
      </c>
    </row>
    <row r="22" spans="1:23" x14ac:dyDescent="0.25">
      <c r="A22" s="18" t="s">
        <v>19</v>
      </c>
      <c r="B22" s="14">
        <v>49.111829999999998</v>
      </c>
      <c r="C22" s="14">
        <v>2.1175600000000001</v>
      </c>
      <c r="D22" s="14">
        <v>30.31917</v>
      </c>
      <c r="E22" s="14">
        <v>1.3880600000000001</v>
      </c>
      <c r="F22" s="4"/>
      <c r="G22" s="14">
        <f t="shared" si="10"/>
        <v>-18.792659999999998</v>
      </c>
      <c r="H22" s="15">
        <f t="shared" si="11"/>
        <v>2.5319500226505265</v>
      </c>
      <c r="I22" s="15">
        <f t="shared" si="12"/>
        <v>-7.4222081130682191</v>
      </c>
      <c r="J22" s="15">
        <f>IF(I22&gt;0,(1-NORMSDIST(I22)),(NORMSDIST(I22)))</f>
        <v>5.7591816212036003E-14</v>
      </c>
      <c r="K22" s="16" t="str">
        <f t="shared" si="13"/>
        <v>Significativa</v>
      </c>
      <c r="M22" s="18" t="s">
        <v>19</v>
      </c>
      <c r="N22" s="14">
        <v>23.710380000000001</v>
      </c>
      <c r="O22" s="14">
        <v>1.26461</v>
      </c>
      <c r="P22" s="14">
        <v>30.31917</v>
      </c>
      <c r="Q22" s="14">
        <v>1.3880600000000001</v>
      </c>
      <c r="R22" s="4"/>
      <c r="S22" s="14">
        <f t="shared" si="14"/>
        <v>6.6087899999999991</v>
      </c>
      <c r="T22" s="15">
        <f t="shared" si="15"/>
        <v>1.8777510526424956</v>
      </c>
      <c r="U22" s="15">
        <f t="shared" si="16"/>
        <v>3.5195240554916332</v>
      </c>
      <c r="V22" s="15">
        <f>IF(U22&gt;0,(1-NORMSDIST(U22)),(NORMSDIST(U22)))</f>
        <v>2.1616091475895605E-4</v>
      </c>
      <c r="W22" s="16" t="str">
        <f t="shared" si="17"/>
        <v>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ht="25.5" customHeight="1" x14ac:dyDescent="0.25">
      <c r="A24" s="20" t="s">
        <v>21</v>
      </c>
      <c r="B24" s="14">
        <v>25.719819999999999</v>
      </c>
      <c r="C24" s="14">
        <v>0.99583999999999995</v>
      </c>
      <c r="D24" s="14">
        <v>20.397770000000001</v>
      </c>
      <c r="E24" s="14">
        <v>0.75770000000000004</v>
      </c>
      <c r="F24" s="4"/>
      <c r="G24" s="14">
        <f t="shared" ref="G24:G29" si="18">D24-B24</f>
        <v>-5.3220499999999973</v>
      </c>
      <c r="H24" s="15">
        <f t="shared" ref="H24:H29" si="19">SQRT(E24*E24+C24*C24)</f>
        <v>1.2513219392306683</v>
      </c>
      <c r="I24" s="15">
        <f t="shared" ref="I24:I29" si="20">G24/H24</f>
        <v>-4.2531420837007579</v>
      </c>
      <c r="J24" s="15">
        <f t="shared" ref="J24:J29" si="21">IF(I24&gt;0,(1-NORMSDIST(I24)),(NORMSDIST(I24)))</f>
        <v>1.0539586739217046E-5</v>
      </c>
      <c r="K24" s="16" t="str">
        <f t="shared" ref="K24:K29" si="22">IF(J24&lt;0.025,"Significativa","No significativa")</f>
        <v>Significativa</v>
      </c>
      <c r="M24" s="20" t="s">
        <v>21</v>
      </c>
      <c r="N24" s="14">
        <v>19.439319999999999</v>
      </c>
      <c r="O24" s="14">
        <v>0.82982999999999996</v>
      </c>
      <c r="P24" s="14">
        <v>20.397770000000001</v>
      </c>
      <c r="Q24" s="14">
        <v>0.75770000000000004</v>
      </c>
      <c r="R24" s="4"/>
      <c r="S24" s="14">
        <f t="shared" ref="S24:S29" si="23">P24-N24</f>
        <v>0.95845000000000269</v>
      </c>
      <c r="T24" s="15">
        <f t="shared" ref="T24:T29" si="24">SQRT(Q24*Q24+O24*O24)</f>
        <v>1.1237113147512576</v>
      </c>
      <c r="U24" s="15">
        <f t="shared" ref="U24:U29" si="25">S24/T24</f>
        <v>0.85293258812844042</v>
      </c>
      <c r="V24" s="15">
        <f t="shared" ref="V24:V29" si="26">IF(U24&gt;0,(1-NORMSDIST(U24)),(NORMSDIST(U24)))</f>
        <v>0.19684834431173415</v>
      </c>
      <c r="W24" s="16" t="str">
        <f t="shared" ref="W24:W29" si="27">IF(V24&lt;0.025,"Significativa","No significativa")</f>
        <v>No significativa</v>
      </c>
    </row>
    <row r="25" spans="1:23" x14ac:dyDescent="0.25">
      <c r="A25" s="18" t="s">
        <v>22</v>
      </c>
      <c r="B25" s="14">
        <v>56.027970000000003</v>
      </c>
      <c r="C25" s="14">
        <v>1.9678500000000001</v>
      </c>
      <c r="D25" s="14">
        <v>32.007940000000005</v>
      </c>
      <c r="E25" s="14">
        <v>1.0961800000000002</v>
      </c>
      <c r="F25" s="4"/>
      <c r="G25" s="14">
        <f t="shared" si="18"/>
        <v>-24.020029999999998</v>
      </c>
      <c r="H25" s="15">
        <f t="shared" si="19"/>
        <v>2.2525639202695227</v>
      </c>
      <c r="I25" s="15">
        <f t="shared" si="20"/>
        <v>-10.663417709862797</v>
      </c>
      <c r="J25" s="15">
        <f t="shared" si="21"/>
        <v>7.5473190499322945E-27</v>
      </c>
      <c r="K25" s="16" t="str">
        <f t="shared" si="22"/>
        <v>Significativa</v>
      </c>
      <c r="M25" s="18" t="s">
        <v>22</v>
      </c>
      <c r="N25" s="14">
        <v>20.803039999999999</v>
      </c>
      <c r="O25" s="14">
        <v>1.1116699999999999</v>
      </c>
      <c r="P25" s="14">
        <v>32.007940000000005</v>
      </c>
      <c r="Q25" s="14">
        <v>1.0961800000000002</v>
      </c>
      <c r="R25" s="4"/>
      <c r="S25" s="14">
        <f t="shared" si="23"/>
        <v>11.204900000000006</v>
      </c>
      <c r="T25" s="15">
        <f t="shared" si="24"/>
        <v>1.5612241291051072</v>
      </c>
      <c r="U25" s="15">
        <f t="shared" si="25"/>
        <v>7.1769964293484545</v>
      </c>
      <c r="V25" s="15">
        <f t="shared" si="26"/>
        <v>3.5627056860221273E-13</v>
      </c>
      <c r="W25" s="16" t="str">
        <f t="shared" si="27"/>
        <v>Significativa</v>
      </c>
    </row>
    <row r="26" spans="1:23" x14ac:dyDescent="0.25">
      <c r="A26" s="18" t="s">
        <v>23</v>
      </c>
      <c r="B26" s="14">
        <v>78.048879999999997</v>
      </c>
      <c r="C26" s="14">
        <v>1.2001200000000001</v>
      </c>
      <c r="D26" s="14">
        <v>70.696359999999999</v>
      </c>
      <c r="E26" s="14">
        <v>1.0916699999999999</v>
      </c>
      <c r="F26" s="4"/>
      <c r="G26" s="14">
        <f t="shared" si="18"/>
        <v>-7.3525199999999984</v>
      </c>
      <c r="H26" s="15">
        <f t="shared" si="19"/>
        <v>1.6223536615978651</v>
      </c>
      <c r="I26" s="15">
        <f t="shared" si="20"/>
        <v>-4.5320081398025511</v>
      </c>
      <c r="J26" s="15">
        <f t="shared" si="21"/>
        <v>2.9212799004206863E-6</v>
      </c>
      <c r="K26" s="16" t="str">
        <f t="shared" si="22"/>
        <v>Significativa</v>
      </c>
      <c r="M26" s="18" t="s">
        <v>23</v>
      </c>
      <c r="N26" s="14">
        <v>72.073670000000007</v>
      </c>
      <c r="O26" s="14">
        <v>1.3262799999999999</v>
      </c>
      <c r="P26" s="14">
        <v>70.696359999999999</v>
      </c>
      <c r="Q26" s="14">
        <v>1.0916699999999999</v>
      </c>
      <c r="R26" s="4"/>
      <c r="S26" s="14">
        <f t="shared" si="23"/>
        <v>-1.3773100000000085</v>
      </c>
      <c r="T26" s="15">
        <f t="shared" si="24"/>
        <v>1.7177782241313924</v>
      </c>
      <c r="U26" s="15">
        <f t="shared" si="25"/>
        <v>-0.80179733370205908</v>
      </c>
      <c r="V26" s="15">
        <f t="shared" si="26"/>
        <v>0.21133510062191233</v>
      </c>
      <c r="W26" s="16" t="str">
        <f t="shared" si="27"/>
        <v>No significativa</v>
      </c>
    </row>
    <row r="27" spans="1:23" x14ac:dyDescent="0.25">
      <c r="A27" s="18" t="s">
        <v>24</v>
      </c>
      <c r="B27" s="14">
        <v>22.552420000000001</v>
      </c>
      <c r="C27" s="14">
        <v>1.6304599999999998</v>
      </c>
      <c r="D27" s="14">
        <v>10.35284</v>
      </c>
      <c r="E27" s="14">
        <v>0.94452999999999998</v>
      </c>
      <c r="F27" s="4"/>
      <c r="G27" s="14">
        <f t="shared" si="18"/>
        <v>-12.199580000000001</v>
      </c>
      <c r="H27" s="15">
        <f t="shared" si="19"/>
        <v>1.8842867967748433</v>
      </c>
      <c r="I27" s="15">
        <f t="shared" si="20"/>
        <v>-6.474375355641655</v>
      </c>
      <c r="J27" s="15">
        <f t="shared" si="21"/>
        <v>4.7602481964834175E-11</v>
      </c>
      <c r="K27" s="16" t="str">
        <f t="shared" si="22"/>
        <v>Significativa</v>
      </c>
      <c r="M27" s="18" t="s">
        <v>24</v>
      </c>
      <c r="N27" s="14">
        <v>11.6577</v>
      </c>
      <c r="O27" s="14">
        <v>0.94858000000000009</v>
      </c>
      <c r="P27" s="14">
        <v>10.35284</v>
      </c>
      <c r="Q27" s="14">
        <v>0.94452999999999998</v>
      </c>
      <c r="R27" s="4"/>
      <c r="S27" s="14">
        <f t="shared" si="23"/>
        <v>-1.3048599999999997</v>
      </c>
      <c r="T27" s="15">
        <f t="shared" si="24"/>
        <v>1.3386339818262496</v>
      </c>
      <c r="U27" s="15">
        <f t="shared" si="25"/>
        <v>-0.97476981588337297</v>
      </c>
      <c r="V27" s="15">
        <f t="shared" si="26"/>
        <v>0.16483722635765413</v>
      </c>
      <c r="W27" s="16" t="str">
        <f t="shared" si="27"/>
        <v>No significativa</v>
      </c>
    </row>
    <row r="28" spans="1:23" x14ac:dyDescent="0.25">
      <c r="A28" s="18" t="s">
        <v>25</v>
      </c>
      <c r="B28" s="14">
        <v>38.790669999999999</v>
      </c>
      <c r="C28" s="14">
        <v>3.3763300000000003</v>
      </c>
      <c r="D28" s="14">
        <v>26.18815</v>
      </c>
      <c r="E28" s="14">
        <v>1.9148999999999998</v>
      </c>
      <c r="F28" s="4"/>
      <c r="G28" s="14">
        <f t="shared" si="18"/>
        <v>-12.602519999999998</v>
      </c>
      <c r="H28" s="15">
        <f t="shared" si="19"/>
        <v>3.8815520451103063</v>
      </c>
      <c r="I28" s="15">
        <f t="shared" si="20"/>
        <v>-3.2467734178331389</v>
      </c>
      <c r="J28" s="15">
        <f t="shared" si="21"/>
        <v>5.8360636815046115E-4</v>
      </c>
      <c r="K28" s="16" t="str">
        <f t="shared" si="22"/>
        <v>Significativa</v>
      </c>
      <c r="M28" s="18" t="s">
        <v>25</v>
      </c>
      <c r="N28" s="14">
        <v>26.487629999999999</v>
      </c>
      <c r="O28" s="14">
        <v>2.0731000000000002</v>
      </c>
      <c r="P28" s="14">
        <v>26.18815</v>
      </c>
      <c r="Q28" s="14">
        <v>1.9148999999999998</v>
      </c>
      <c r="R28" s="4"/>
      <c r="S28" s="14">
        <f t="shared" si="23"/>
        <v>-0.29947999999999908</v>
      </c>
      <c r="T28" s="15">
        <f t="shared" si="24"/>
        <v>2.8221597438841055</v>
      </c>
      <c r="U28" s="15">
        <f t="shared" si="25"/>
        <v>-0.10611730985427077</v>
      </c>
      <c r="V28" s="15">
        <f t="shared" si="26"/>
        <v>0.45774463870672411</v>
      </c>
      <c r="W28" s="16" t="str">
        <f t="shared" si="27"/>
        <v>No significativa</v>
      </c>
    </row>
    <row r="29" spans="1:23" x14ac:dyDescent="0.25">
      <c r="A29" s="18" t="s">
        <v>26</v>
      </c>
      <c r="B29" s="14">
        <v>27.067400000000003</v>
      </c>
      <c r="C29" s="14">
        <v>1.7816999999999998</v>
      </c>
      <c r="D29" s="14">
        <v>27.340419999999998</v>
      </c>
      <c r="E29" s="14">
        <v>1.3026500000000001</v>
      </c>
      <c r="F29" s="4"/>
      <c r="G29" s="14">
        <f t="shared" si="18"/>
        <v>0.27301999999999538</v>
      </c>
      <c r="H29" s="15">
        <f t="shared" si="19"/>
        <v>2.2071139328317422</v>
      </c>
      <c r="I29" s="15">
        <f t="shared" si="20"/>
        <v>0.12370000294896823</v>
      </c>
      <c r="J29" s="15">
        <f t="shared" si="21"/>
        <v>0.45077640466307412</v>
      </c>
      <c r="K29" s="16" t="str">
        <f t="shared" si="22"/>
        <v>No significativa</v>
      </c>
      <c r="M29" s="18" t="s">
        <v>26</v>
      </c>
      <c r="N29" s="14">
        <v>20.841899999999999</v>
      </c>
      <c r="O29" s="14">
        <v>1.30349</v>
      </c>
      <c r="P29" s="14">
        <v>27.340419999999998</v>
      </c>
      <c r="Q29" s="14">
        <v>1.3026500000000001</v>
      </c>
      <c r="R29" s="4"/>
      <c r="S29" s="14">
        <f t="shared" si="23"/>
        <v>6.4985199999999992</v>
      </c>
      <c r="T29" s="15">
        <f t="shared" si="24"/>
        <v>1.842819362444404</v>
      </c>
      <c r="U29" s="15">
        <f t="shared" si="25"/>
        <v>3.5264009769140099</v>
      </c>
      <c r="V29" s="15">
        <f t="shared" si="26"/>
        <v>2.1062432983820489E-4</v>
      </c>
      <c r="W29" s="16" t="str">
        <f t="shared" si="27"/>
        <v>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26.88852</v>
      </c>
      <c r="C31" s="14">
        <v>1.9378099999999998</v>
      </c>
      <c r="D31" s="14">
        <v>31.372729999999997</v>
      </c>
      <c r="E31" s="14">
        <v>1.4489300000000001</v>
      </c>
      <c r="F31" s="22"/>
      <c r="G31" s="14">
        <f t="shared" ref="G31:G32" si="28">D31-B31</f>
        <v>4.4842099999999974</v>
      </c>
      <c r="H31" s="15">
        <f t="shared" ref="H31:H32" si="29">SQRT(E31*E31+C31*C31)</f>
        <v>2.4196085925206994</v>
      </c>
      <c r="I31" s="15">
        <f t="shared" ref="I31:I32" si="30">G31/H31</f>
        <v>1.853279085659238</v>
      </c>
      <c r="J31" s="15">
        <f>IF(I31&gt;0,(1-NORMSDIST(I31)),(NORMSDIST(I31)))</f>
        <v>3.1921183629302852E-2</v>
      </c>
      <c r="K31" s="16" t="str">
        <f t="shared" ref="K31:K32" si="31">IF(J31&lt;0.025,"Significativa","No significativa")</f>
        <v>No significativa</v>
      </c>
      <c r="M31" s="21" t="s">
        <v>28</v>
      </c>
      <c r="N31" s="14">
        <v>22.297900000000002</v>
      </c>
      <c r="O31" s="14">
        <v>1.4519600000000001</v>
      </c>
      <c r="P31" s="14">
        <v>31.372729999999997</v>
      </c>
      <c r="Q31" s="14">
        <v>1.4489300000000001</v>
      </c>
      <c r="R31" s="22"/>
      <c r="S31" s="14">
        <f t="shared" ref="S31:S32" si="32">P31-N31</f>
        <v>9.0748299999999951</v>
      </c>
      <c r="T31" s="15">
        <f t="shared" ref="T31:T32" si="33">SQRT(Q31*Q31+O31*O31)</f>
        <v>2.0512401094216153</v>
      </c>
      <c r="U31" s="15">
        <f t="shared" ref="U31:U32" si="34">S31/T31</f>
        <v>4.4240700824433512</v>
      </c>
      <c r="V31" s="15">
        <f>IF(U31&gt;0,(1-NORMSDIST(U31)),(NORMSDIST(U31)))</f>
        <v>4.8429288339590926E-6</v>
      </c>
      <c r="W31" s="16" t="str">
        <f t="shared" ref="W31:W32" si="35">IF(V31&lt;0.025,"Significativa","No significativa")</f>
        <v>Significativa</v>
      </c>
    </row>
    <row r="32" spans="1:23" ht="15" customHeight="1" thickBot="1" x14ac:dyDescent="0.3">
      <c r="A32" s="23" t="s">
        <v>29</v>
      </c>
      <c r="B32" s="30">
        <v>68.59366</v>
      </c>
      <c r="C32" s="30">
        <v>1.7760000000000002</v>
      </c>
      <c r="D32" s="30">
        <v>70.199190000000002</v>
      </c>
      <c r="E32" s="30">
        <v>1.28331</v>
      </c>
      <c r="F32" s="24"/>
      <c r="G32" s="30">
        <f t="shared" si="28"/>
        <v>1.6055300000000017</v>
      </c>
      <c r="H32" s="25">
        <f t="shared" si="29"/>
        <v>2.191132254360745</v>
      </c>
      <c r="I32" s="25">
        <f t="shared" si="30"/>
        <v>0.73273988678899227</v>
      </c>
      <c r="J32" s="25">
        <f>IF(I32&gt;0,(1-NORMSDIST(I32)),(NORMSDIST(I32)))</f>
        <v>0.23185854571953124</v>
      </c>
      <c r="K32" s="26" t="str">
        <f t="shared" si="31"/>
        <v>No significativa</v>
      </c>
      <c r="M32" s="23" t="s">
        <v>29</v>
      </c>
      <c r="N32" s="30">
        <v>65.040679999999995</v>
      </c>
      <c r="O32" s="30">
        <v>1.45794</v>
      </c>
      <c r="P32" s="30">
        <v>70.199190000000002</v>
      </c>
      <c r="Q32" s="30">
        <v>1.28331</v>
      </c>
      <c r="R32" s="24"/>
      <c r="S32" s="30">
        <f t="shared" si="32"/>
        <v>5.1585100000000068</v>
      </c>
      <c r="T32" s="25">
        <f t="shared" si="33"/>
        <v>1.9422856637734831</v>
      </c>
      <c r="U32" s="25">
        <f t="shared" si="34"/>
        <v>2.6558966563023616</v>
      </c>
      <c r="V32" s="25">
        <f>IF(U32&gt;0,(1-NORMSDIST(U32)),(NORMSDIST(U32)))</f>
        <v>3.9548925000869595E-3</v>
      </c>
      <c r="W32" s="26" t="str">
        <f t="shared" si="35"/>
        <v>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S12:T12"/>
    <mergeCell ref="V11:V12"/>
    <mergeCell ref="W11:W12"/>
    <mergeCell ref="M9:W9"/>
    <mergeCell ref="M10:W10"/>
    <mergeCell ref="M11:M12"/>
    <mergeCell ref="N11:O11"/>
    <mergeCell ref="P11:Q11"/>
    <mergeCell ref="U11:U12"/>
    <mergeCell ref="I11:I12"/>
    <mergeCell ref="J11:J12"/>
    <mergeCell ref="K11:K12"/>
    <mergeCell ref="G12:H12"/>
    <mergeCell ref="A9:K9"/>
    <mergeCell ref="A10:K10"/>
    <mergeCell ref="A11:A12"/>
    <mergeCell ref="B11:C11"/>
    <mergeCell ref="D11:E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7B52-5826-47F2-BEE9-CDF0C8504348}">
  <dimension ref="A9:W34"/>
  <sheetViews>
    <sheetView workbookViewId="0">
      <selection activeCell="AG32" sqref="AG32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customHeight="1" x14ac:dyDescent="0.25">
      <c r="A9" s="54" t="s">
        <v>43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44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ht="15" customHeight="1" x14ac:dyDescent="0.25">
      <c r="A14" s="13" t="s">
        <v>11</v>
      </c>
      <c r="B14" s="14">
        <v>35.21443</v>
      </c>
      <c r="C14" s="14">
        <v>1.61127</v>
      </c>
      <c r="D14" s="14">
        <v>32.854210000000002</v>
      </c>
      <c r="E14" s="14">
        <v>1.0226900000000001</v>
      </c>
      <c r="F14" s="4"/>
      <c r="G14" s="14">
        <f>D14-B14</f>
        <v>-2.3602199999999982</v>
      </c>
      <c r="H14" s="15">
        <f>SQRT(E14*E14+C14*C14)</f>
        <v>1.9084249655147565</v>
      </c>
      <c r="I14" s="15">
        <f>G14/H14</f>
        <v>-1.2367371223124719</v>
      </c>
      <c r="J14" s="15">
        <f>IF(I14&gt;0,(1-NORMSDIST(I14)),(NORMSDIST(I14)))</f>
        <v>0.10809234610100535</v>
      </c>
      <c r="K14" s="16" t="str">
        <f>IF(J14&lt;0.025,"Significativa","No significativa")</f>
        <v>No significativa</v>
      </c>
      <c r="M14" s="13" t="s">
        <v>11</v>
      </c>
      <c r="N14" s="14">
        <v>27.58079</v>
      </c>
      <c r="O14" s="14">
        <v>1.11415</v>
      </c>
      <c r="P14" s="14">
        <v>32.854210000000002</v>
      </c>
      <c r="Q14" s="14">
        <v>1.0226900000000001</v>
      </c>
      <c r="R14" s="4"/>
      <c r="S14" s="14">
        <f>P14-N14</f>
        <v>5.2734200000000016</v>
      </c>
      <c r="T14" s="15">
        <f>SQRT(Q14*Q14+O14*O14)</f>
        <v>1.5123574506709716</v>
      </c>
      <c r="U14" s="15">
        <f>S14/T14</f>
        <v>3.4868873080635794</v>
      </c>
      <c r="V14" s="15">
        <f>IF(U14&gt;0,(1-NORMSDIST(U14)),(NORMSDIST(U14)))</f>
        <v>2.4433861257855405E-4</v>
      </c>
      <c r="W14" s="16" t="str">
        <f>IF(V14&lt;0.025,"Significativa","No significativa")</f>
        <v>Significativa</v>
      </c>
    </row>
    <row r="15" spans="1:23" ht="15" customHeight="1" x14ac:dyDescent="0.25">
      <c r="A15" s="13" t="s">
        <v>12</v>
      </c>
      <c r="B15" s="14">
        <v>29.7502</v>
      </c>
      <c r="C15" s="14">
        <v>1.36483</v>
      </c>
      <c r="D15" s="14">
        <v>29.153590000000001</v>
      </c>
      <c r="E15" s="14">
        <v>0.97111000000000003</v>
      </c>
      <c r="F15" s="4"/>
      <c r="G15" s="14">
        <f t="shared" ref="G15:G19" si="0">D15-B15</f>
        <v>-0.59660999999999831</v>
      </c>
      <c r="H15" s="15">
        <f t="shared" ref="H15:H19" si="1">SQRT(E15*E15+C15*C15)</f>
        <v>1.6750568829147265</v>
      </c>
      <c r="I15" s="15">
        <f t="shared" ref="I15:I19" si="2">G15/H15</f>
        <v>-0.35617297901063005</v>
      </c>
      <c r="J15" s="15">
        <f t="shared" ref="J15:J19" si="3">IF(I15&gt;0,(1-NORMSDIST(I15)),(NORMSDIST(I15)))</f>
        <v>0.36085551321224624</v>
      </c>
      <c r="K15" s="16" t="str">
        <f t="shared" ref="K15:K19" si="4">IF(J15&lt;0.025,"Significativa","No significativa")</f>
        <v>No significativa</v>
      </c>
      <c r="M15" s="13" t="s">
        <v>12</v>
      </c>
      <c r="N15" s="14">
        <v>25.619130000000002</v>
      </c>
      <c r="O15" s="14">
        <v>1.0237499999999999</v>
      </c>
      <c r="P15" s="14">
        <v>29.153590000000001</v>
      </c>
      <c r="Q15" s="14">
        <v>0.97111000000000003</v>
      </c>
      <c r="R15" s="4"/>
      <c r="S15" s="14">
        <f t="shared" ref="S15:S19" si="5">P15-N15</f>
        <v>3.5344599999999993</v>
      </c>
      <c r="T15" s="15">
        <f t="shared" ref="T15:T19" si="6">SQRT(Q15*Q15+O15*O15)</f>
        <v>1.4110700530448514</v>
      </c>
      <c r="U15" s="15">
        <f t="shared" ref="U15:U19" si="7">S15/T15</f>
        <v>2.5048083136434154</v>
      </c>
      <c r="V15" s="15">
        <f t="shared" ref="V15:V19" si="8">IF(U15&gt;0,(1-NORMSDIST(U15)),(NORMSDIST(U15)))</f>
        <v>6.1258886227870679E-3</v>
      </c>
      <c r="W15" s="16" t="str">
        <f t="shared" ref="W15:W19" si="9">IF(V15&lt;0.025,"Significativa","No significativa")</f>
        <v>Significativa</v>
      </c>
    </row>
    <row r="16" spans="1:23" ht="15" customHeight="1" x14ac:dyDescent="0.25">
      <c r="A16" s="13" t="s">
        <v>13</v>
      </c>
      <c r="B16" s="31">
        <v>5.4642299999999997</v>
      </c>
      <c r="C16" s="14">
        <v>0.87034999999999996</v>
      </c>
      <c r="D16" s="14">
        <v>3.7006200000000002</v>
      </c>
      <c r="E16" s="14">
        <v>0.31517000000000001</v>
      </c>
      <c r="F16" s="4"/>
      <c r="G16" s="14">
        <f t="shared" si="0"/>
        <v>-1.7636099999999995</v>
      </c>
      <c r="H16" s="15">
        <f t="shared" si="1"/>
        <v>0.92565719972352611</v>
      </c>
      <c r="I16" s="15">
        <f t="shared" si="2"/>
        <v>-1.9052517503528863</v>
      </c>
      <c r="J16" s="15">
        <f t="shared" si="3"/>
        <v>2.8373677060578372E-2</v>
      </c>
      <c r="K16" s="16" t="str">
        <f t="shared" si="4"/>
        <v>No significativa</v>
      </c>
      <c r="M16" s="13" t="s">
        <v>13</v>
      </c>
      <c r="N16" s="31">
        <v>1.9616600000000002</v>
      </c>
      <c r="O16" s="14">
        <v>0.29141</v>
      </c>
      <c r="P16" s="14">
        <v>3.7006200000000002</v>
      </c>
      <c r="Q16" s="14">
        <v>0.31517000000000001</v>
      </c>
      <c r="R16" s="4"/>
      <c r="S16" s="14">
        <f t="shared" si="5"/>
        <v>1.7389600000000001</v>
      </c>
      <c r="T16" s="15">
        <f t="shared" si="6"/>
        <v>0.42924575361906608</v>
      </c>
      <c r="U16" s="15">
        <f t="shared" si="7"/>
        <v>4.0511990749784781</v>
      </c>
      <c r="V16" s="15">
        <f t="shared" si="8"/>
        <v>2.5477914984861627E-5</v>
      </c>
      <c r="W16" s="16" t="str">
        <f t="shared" si="9"/>
        <v>Significativa</v>
      </c>
    </row>
    <row r="17" spans="1:23" ht="15" customHeight="1" x14ac:dyDescent="0.25">
      <c r="A17" s="13" t="s">
        <v>14</v>
      </c>
      <c r="B17" s="14">
        <v>35.03078</v>
      </c>
      <c r="C17" s="14">
        <v>1.4675799999999999</v>
      </c>
      <c r="D17" s="14">
        <v>32.29813</v>
      </c>
      <c r="E17" s="14">
        <v>0.90188000000000001</v>
      </c>
      <c r="F17" s="4"/>
      <c r="G17" s="14">
        <f t="shared" si="0"/>
        <v>-2.7326499999999996</v>
      </c>
      <c r="H17" s="15">
        <f t="shared" si="1"/>
        <v>1.7225500256306054</v>
      </c>
      <c r="I17" s="15">
        <f t="shared" si="2"/>
        <v>-1.5863980490201486</v>
      </c>
      <c r="J17" s="15">
        <f t="shared" si="3"/>
        <v>5.6324521360505052E-2</v>
      </c>
      <c r="K17" s="16" t="str">
        <f t="shared" si="4"/>
        <v>No significativa</v>
      </c>
      <c r="M17" s="13" t="s">
        <v>14</v>
      </c>
      <c r="N17" s="14">
        <v>38.018929999999997</v>
      </c>
      <c r="O17" s="14">
        <v>0.99582000000000004</v>
      </c>
      <c r="P17" s="14">
        <v>32.29813</v>
      </c>
      <c r="Q17" s="14">
        <v>0.90188000000000001</v>
      </c>
      <c r="R17" s="4"/>
      <c r="S17" s="14">
        <f t="shared" si="5"/>
        <v>-5.720799999999997</v>
      </c>
      <c r="T17" s="15">
        <f t="shared" si="6"/>
        <v>1.3435196339465978</v>
      </c>
      <c r="U17" s="15">
        <f t="shared" si="7"/>
        <v>-4.2580695178939134</v>
      </c>
      <c r="V17" s="15">
        <f t="shared" si="8"/>
        <v>1.0309991627624214E-5</v>
      </c>
      <c r="W17" s="16" t="str">
        <f t="shared" si="9"/>
        <v>Significativa</v>
      </c>
    </row>
    <row r="18" spans="1:23" ht="15" customHeight="1" x14ac:dyDescent="0.25">
      <c r="A18" s="13" t="s">
        <v>15</v>
      </c>
      <c r="B18" s="14">
        <v>5.09213</v>
      </c>
      <c r="C18" s="14">
        <v>0.47064999999999996</v>
      </c>
      <c r="D18" s="14">
        <v>8.32423</v>
      </c>
      <c r="E18" s="14">
        <v>0.59379999999999999</v>
      </c>
      <c r="F18" s="4"/>
      <c r="G18" s="14">
        <f t="shared" si="0"/>
        <v>3.2321</v>
      </c>
      <c r="H18" s="15">
        <f t="shared" si="1"/>
        <v>0.75770037778794852</v>
      </c>
      <c r="I18" s="15">
        <f t="shared" si="2"/>
        <v>4.2656703028654706</v>
      </c>
      <c r="J18" s="15">
        <f t="shared" si="3"/>
        <v>9.9651458481675448E-6</v>
      </c>
      <c r="K18" s="16" t="str">
        <f t="shared" si="4"/>
        <v>Significativa</v>
      </c>
      <c r="M18" s="13" t="s">
        <v>15</v>
      </c>
      <c r="N18" s="14">
        <v>6.3436400000000006</v>
      </c>
      <c r="O18" s="14">
        <v>0.53286</v>
      </c>
      <c r="P18" s="14">
        <v>8.32423</v>
      </c>
      <c r="Q18" s="14">
        <v>0.59379999999999999</v>
      </c>
      <c r="R18" s="4"/>
      <c r="S18" s="14">
        <f t="shared" si="5"/>
        <v>1.9805899999999994</v>
      </c>
      <c r="T18" s="15">
        <f t="shared" si="6"/>
        <v>0.797833453547794</v>
      </c>
      <c r="U18" s="15">
        <f t="shared" si="7"/>
        <v>2.4824604573708222</v>
      </c>
      <c r="V18" s="15">
        <f t="shared" si="8"/>
        <v>6.5239274293688032E-3</v>
      </c>
      <c r="W18" s="16" t="str">
        <f t="shared" si="9"/>
        <v>Significativa</v>
      </c>
    </row>
    <row r="19" spans="1:23" ht="15" customHeight="1" x14ac:dyDescent="0.25">
      <c r="A19" s="13" t="s">
        <v>16</v>
      </c>
      <c r="B19" s="14">
        <v>24.662659999999999</v>
      </c>
      <c r="C19" s="14">
        <v>1.14367</v>
      </c>
      <c r="D19" s="14">
        <v>26.523429999999998</v>
      </c>
      <c r="E19" s="14">
        <v>0.87178</v>
      </c>
      <c r="F19" s="4"/>
      <c r="G19" s="14">
        <f t="shared" si="0"/>
        <v>1.8607699999999987</v>
      </c>
      <c r="H19" s="15">
        <f t="shared" si="1"/>
        <v>1.4380477868624533</v>
      </c>
      <c r="I19" s="15">
        <f t="shared" si="2"/>
        <v>1.2939556091246764</v>
      </c>
      <c r="J19" s="15">
        <f t="shared" si="3"/>
        <v>9.7840377256125488E-2</v>
      </c>
      <c r="K19" s="16" t="str">
        <f t="shared" si="4"/>
        <v>No significativa</v>
      </c>
      <c r="M19" s="13" t="s">
        <v>16</v>
      </c>
      <c r="N19" s="14">
        <v>28.056639999999998</v>
      </c>
      <c r="O19" s="14">
        <v>0.96304999999999996</v>
      </c>
      <c r="P19" s="14">
        <v>26.523429999999998</v>
      </c>
      <c r="Q19" s="14">
        <v>0.87178</v>
      </c>
      <c r="R19" s="4"/>
      <c r="S19" s="14">
        <f t="shared" si="5"/>
        <v>-1.5332100000000004</v>
      </c>
      <c r="T19" s="15">
        <f t="shared" si="6"/>
        <v>1.2990248923327066</v>
      </c>
      <c r="U19" s="15">
        <f t="shared" si="7"/>
        <v>-1.1802776136543149</v>
      </c>
      <c r="V19" s="15">
        <f t="shared" si="8"/>
        <v>0.11894490938012799</v>
      </c>
      <c r="W19" s="16" t="str">
        <f t="shared" si="9"/>
        <v>No significativa</v>
      </c>
    </row>
    <row r="20" spans="1:23" ht="15" customHeight="1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70.24521</v>
      </c>
      <c r="C21" s="14">
        <v>1.1438999999999999</v>
      </c>
      <c r="D21" s="14">
        <v>65.152339999999995</v>
      </c>
      <c r="E21" s="14">
        <v>0.91205999999999998</v>
      </c>
      <c r="F21" s="4"/>
      <c r="G21" s="14">
        <f t="shared" ref="G21:G22" si="10">D21-B21</f>
        <v>-5.0928700000000049</v>
      </c>
      <c r="H21" s="15">
        <f t="shared" ref="H21:H22" si="11">SQRT(E21*E21+C21*C21)</f>
        <v>1.4629971475023458</v>
      </c>
      <c r="I21" s="15">
        <f t="shared" ref="I21:I22" si="12">G21/H21</f>
        <v>-3.4811209363563296</v>
      </c>
      <c r="J21" s="15">
        <f>IF(I21&gt;0,(1-NORMSDIST(I21)),(NORMSDIST(I21)))</f>
        <v>2.496599936952571E-4</v>
      </c>
      <c r="K21" s="16" t="str">
        <f t="shared" ref="K21:K22" si="13">IF(J21&lt;0.025,"Significativa","No significativa")</f>
        <v>Significativa</v>
      </c>
      <c r="M21" s="18" t="s">
        <v>18</v>
      </c>
      <c r="N21" s="14">
        <v>65.599719999999991</v>
      </c>
      <c r="O21" s="14">
        <v>1.02597</v>
      </c>
      <c r="P21" s="14">
        <v>65.152339999999995</v>
      </c>
      <c r="Q21" s="14">
        <v>0.91205999999999998</v>
      </c>
      <c r="R21" s="4"/>
      <c r="S21" s="14">
        <f t="shared" ref="S21:S22" si="14">P21-N21</f>
        <v>-0.44737999999999545</v>
      </c>
      <c r="T21" s="15">
        <f t="shared" ref="T21:T22" si="15">SQRT(Q21*Q21+O21*O21)</f>
        <v>1.3727592230613495</v>
      </c>
      <c r="U21" s="15">
        <f t="shared" ref="U21:U22" si="16">S21/T21</f>
        <v>-0.32589837495486401</v>
      </c>
      <c r="V21" s="15">
        <f>IF(U21&gt;0,(1-NORMSDIST(U21)),(NORMSDIST(U21)))</f>
        <v>0.37225062261797243</v>
      </c>
      <c r="W21" s="16" t="str">
        <f t="shared" ref="W21:W22" si="17">IF(V21&lt;0.025,"Significativa","No significativa")</f>
        <v>No significativa</v>
      </c>
    </row>
    <row r="22" spans="1:23" x14ac:dyDescent="0.25">
      <c r="A22" s="18" t="s">
        <v>19</v>
      </c>
      <c r="B22" s="14">
        <v>21.02664</v>
      </c>
      <c r="C22" s="14">
        <v>1.01444</v>
      </c>
      <c r="D22" s="14">
        <v>13.326360000000001</v>
      </c>
      <c r="E22" s="14">
        <v>0.62507999999999997</v>
      </c>
      <c r="F22" s="4"/>
      <c r="G22" s="14">
        <f t="shared" si="10"/>
        <v>-7.7002799999999993</v>
      </c>
      <c r="H22" s="15">
        <f t="shared" si="11"/>
        <v>1.1915592809424129</v>
      </c>
      <c r="I22" s="15">
        <f t="shared" si="12"/>
        <v>-6.4623557746197839</v>
      </c>
      <c r="J22" s="15">
        <f>IF(I22&gt;0,(1-NORMSDIST(I22)),(NORMSDIST(I22)))</f>
        <v>5.1542690534526547E-11</v>
      </c>
      <c r="K22" s="16" t="str">
        <f t="shared" si="13"/>
        <v>Significativa</v>
      </c>
      <c r="M22" s="18" t="s">
        <v>19</v>
      </c>
      <c r="N22" s="14">
        <v>11.062520000000001</v>
      </c>
      <c r="O22" s="14">
        <v>0.64985000000000004</v>
      </c>
      <c r="P22" s="14">
        <v>13.326360000000001</v>
      </c>
      <c r="Q22" s="14">
        <v>0.62507999999999997</v>
      </c>
      <c r="R22" s="4"/>
      <c r="S22" s="14">
        <f t="shared" si="14"/>
        <v>2.2638400000000001</v>
      </c>
      <c r="T22" s="15">
        <f t="shared" si="15"/>
        <v>0.90168177806807215</v>
      </c>
      <c r="U22" s="15">
        <f t="shared" si="16"/>
        <v>2.5106862033415656</v>
      </c>
      <c r="V22" s="15">
        <f>IF(U22&gt;0,(1-NORMSDIST(U22)),(NORMSDIST(U22)))</f>
        <v>6.0248377576078704E-3</v>
      </c>
      <c r="W22" s="16" t="str">
        <f t="shared" si="17"/>
        <v>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ht="25.5" customHeight="1" x14ac:dyDescent="0.25">
      <c r="A24" s="20" t="s">
        <v>21</v>
      </c>
      <c r="B24" s="14">
        <v>20.414249999999999</v>
      </c>
      <c r="C24" s="14">
        <v>0.68862000000000001</v>
      </c>
      <c r="D24" s="14">
        <v>13.688819999999998</v>
      </c>
      <c r="E24" s="14">
        <v>0.46185000000000004</v>
      </c>
      <c r="F24" s="4"/>
      <c r="G24" s="14">
        <f t="shared" ref="G24:G29" si="18">D24-B24</f>
        <v>-6.7254300000000011</v>
      </c>
      <c r="H24" s="15">
        <f t="shared" ref="H24:H29" si="19">SQRT(E24*E24+C24*C24)</f>
        <v>0.82915796257408036</v>
      </c>
      <c r="I24" s="15">
        <f t="shared" ref="I24:I29" si="20">G24/H24</f>
        <v>-8.1111565028227339</v>
      </c>
      <c r="J24" s="15">
        <f t="shared" ref="J24:J29" si="21">IF(I24&gt;0,(1-NORMSDIST(I24)),(NORMSDIST(I24)))</f>
        <v>2.5070112769390142E-16</v>
      </c>
      <c r="K24" s="16" t="str">
        <f t="shared" ref="K24:K29" si="22">IF(J24&lt;0.025,"Significativa","No significativa")</f>
        <v>Significativa</v>
      </c>
      <c r="M24" s="20" t="s">
        <v>21</v>
      </c>
      <c r="N24" s="14">
        <v>14.77717</v>
      </c>
      <c r="O24" s="14">
        <v>0.49675999999999998</v>
      </c>
      <c r="P24" s="14">
        <v>13.688819999999998</v>
      </c>
      <c r="Q24" s="14">
        <v>0.46185000000000004</v>
      </c>
      <c r="R24" s="4"/>
      <c r="S24" s="14">
        <f t="shared" ref="S24:S29" si="23">P24-N24</f>
        <v>-1.0883500000000019</v>
      </c>
      <c r="T24" s="15">
        <f t="shared" ref="T24:T29" si="24">SQRT(Q24*Q24+O24*O24)</f>
        <v>0.67828896504366043</v>
      </c>
      <c r="U24" s="15">
        <f t="shared" ref="U24:U29" si="25">S24/T24</f>
        <v>-1.6045521246684979</v>
      </c>
      <c r="V24" s="15">
        <f t="shared" ref="V24:V29" si="26">IF(U24&gt;0,(1-NORMSDIST(U24)),(NORMSDIST(U24)))</f>
        <v>5.4296202296942875E-2</v>
      </c>
      <c r="W24" s="16" t="str">
        <f t="shared" ref="W24:W29" si="27">IF(V24&lt;0.025,"Significativa","No significativa")</f>
        <v>No significativa</v>
      </c>
    </row>
    <row r="25" spans="1:23" x14ac:dyDescent="0.25">
      <c r="A25" s="18" t="s">
        <v>22</v>
      </c>
      <c r="B25" s="14">
        <v>26.788260000000001</v>
      </c>
      <c r="C25" s="14">
        <v>1.1821999999999999</v>
      </c>
      <c r="D25" s="14">
        <v>20.880199999999999</v>
      </c>
      <c r="E25" s="14">
        <v>0.72896000000000005</v>
      </c>
      <c r="F25" s="4"/>
      <c r="G25" s="14">
        <f t="shared" si="18"/>
        <v>-5.9080600000000025</v>
      </c>
      <c r="H25" s="15">
        <f t="shared" si="19"/>
        <v>1.388877072170176</v>
      </c>
      <c r="I25" s="15">
        <f t="shared" si="20"/>
        <v>-4.2538393918249531</v>
      </c>
      <c r="J25" s="15">
        <f t="shared" si="21"/>
        <v>1.0506802340641765E-5</v>
      </c>
      <c r="K25" s="16" t="str">
        <f t="shared" si="22"/>
        <v>Significativa</v>
      </c>
      <c r="M25" s="18" t="s">
        <v>22</v>
      </c>
      <c r="N25" s="14">
        <v>11.83404</v>
      </c>
      <c r="O25" s="14">
        <v>0.56374000000000002</v>
      </c>
      <c r="P25" s="14">
        <v>20.880199999999999</v>
      </c>
      <c r="Q25" s="14">
        <v>0.72896000000000005</v>
      </c>
      <c r="R25" s="4"/>
      <c r="S25" s="14">
        <f t="shared" si="23"/>
        <v>9.0461599999999986</v>
      </c>
      <c r="T25" s="15">
        <f t="shared" si="24"/>
        <v>0.92151259850313505</v>
      </c>
      <c r="U25" s="15">
        <f t="shared" si="25"/>
        <v>9.8166427834998533</v>
      </c>
      <c r="V25" s="15">
        <f t="shared" si="26"/>
        <v>0</v>
      </c>
      <c r="W25" s="16" t="str">
        <f t="shared" si="27"/>
        <v>Significativa</v>
      </c>
    </row>
    <row r="26" spans="1:23" x14ac:dyDescent="0.25">
      <c r="A26" s="18" t="s">
        <v>23</v>
      </c>
      <c r="B26" s="14">
        <v>57.677259999999997</v>
      </c>
      <c r="C26" s="14">
        <v>1.2406900000000001</v>
      </c>
      <c r="D26" s="14">
        <v>51.00188</v>
      </c>
      <c r="E26" s="14">
        <v>0.91263000000000005</v>
      </c>
      <c r="F26" s="4"/>
      <c r="G26" s="14">
        <f t="shared" si="18"/>
        <v>-6.675379999999997</v>
      </c>
      <c r="H26" s="15">
        <f t="shared" si="19"/>
        <v>1.5401964787000391</v>
      </c>
      <c r="I26" s="15">
        <f t="shared" si="20"/>
        <v>-4.3341093765090086</v>
      </c>
      <c r="J26" s="15">
        <f t="shared" si="21"/>
        <v>7.3175701049876879E-6</v>
      </c>
      <c r="K26" s="16" t="str">
        <f t="shared" si="22"/>
        <v>Significativa</v>
      </c>
      <c r="M26" s="18" t="s">
        <v>23</v>
      </c>
      <c r="N26" s="14">
        <v>52.664299999999997</v>
      </c>
      <c r="O26" s="14">
        <v>1.1357000000000002</v>
      </c>
      <c r="P26" s="14">
        <v>51.00188</v>
      </c>
      <c r="Q26" s="14">
        <v>0.91263000000000005</v>
      </c>
      <c r="R26" s="4"/>
      <c r="S26" s="14">
        <f t="shared" si="23"/>
        <v>-1.6624199999999973</v>
      </c>
      <c r="T26" s="15">
        <f t="shared" si="24"/>
        <v>1.4569516144676873</v>
      </c>
      <c r="U26" s="15">
        <f t="shared" si="25"/>
        <v>-1.1410262245444438</v>
      </c>
      <c r="V26" s="15">
        <f t="shared" si="26"/>
        <v>0.12692950502925646</v>
      </c>
      <c r="W26" s="16" t="str">
        <f t="shared" si="27"/>
        <v>No significativa</v>
      </c>
    </row>
    <row r="27" spans="1:23" x14ac:dyDescent="0.25">
      <c r="A27" s="18" t="s">
        <v>24</v>
      </c>
      <c r="B27" s="14">
        <v>11.88369</v>
      </c>
      <c r="C27" s="14">
        <v>0.91369999999999996</v>
      </c>
      <c r="D27" s="14">
        <v>6.7169400000000001</v>
      </c>
      <c r="E27" s="14">
        <v>0.62768000000000002</v>
      </c>
      <c r="F27" s="4"/>
      <c r="G27" s="14">
        <f t="shared" si="18"/>
        <v>-5.1667499999999995</v>
      </c>
      <c r="H27" s="15">
        <f t="shared" si="19"/>
        <v>1.108525990854522</v>
      </c>
      <c r="I27" s="15">
        <f t="shared" si="20"/>
        <v>-4.6609191328181145</v>
      </c>
      <c r="J27" s="15">
        <f t="shared" si="21"/>
        <v>1.5740020015287957E-6</v>
      </c>
      <c r="K27" s="16" t="str">
        <f t="shared" si="22"/>
        <v>Significativa</v>
      </c>
      <c r="M27" s="18" t="s">
        <v>24</v>
      </c>
      <c r="N27" s="14">
        <v>8.4762000000000004</v>
      </c>
      <c r="O27" s="14">
        <v>0.66914000000000007</v>
      </c>
      <c r="P27" s="14">
        <v>6.7169400000000001</v>
      </c>
      <c r="Q27" s="14">
        <v>0.62768000000000002</v>
      </c>
      <c r="R27" s="4"/>
      <c r="S27" s="14">
        <f t="shared" si="23"/>
        <v>-1.7592600000000003</v>
      </c>
      <c r="T27" s="15">
        <f t="shared" si="24"/>
        <v>0.91745873040698689</v>
      </c>
      <c r="U27" s="15">
        <f t="shared" si="25"/>
        <v>-1.9175358429687495</v>
      </c>
      <c r="V27" s="15">
        <f t="shared" si="26"/>
        <v>2.75849459634065E-2</v>
      </c>
      <c r="W27" s="16" t="str">
        <f t="shared" si="27"/>
        <v>No significativa</v>
      </c>
    </row>
    <row r="28" spans="1:23" x14ac:dyDescent="0.25">
      <c r="A28" s="18" t="s">
        <v>25</v>
      </c>
      <c r="B28" s="14">
        <v>14.245610000000001</v>
      </c>
      <c r="C28" s="14">
        <v>1.37331</v>
      </c>
      <c r="D28" s="14">
        <v>9.9673800000000004</v>
      </c>
      <c r="E28" s="14">
        <v>0.80090000000000006</v>
      </c>
      <c r="F28" s="4"/>
      <c r="G28" s="14">
        <f t="shared" si="18"/>
        <v>-4.2782300000000006</v>
      </c>
      <c r="H28" s="15">
        <f t="shared" si="19"/>
        <v>1.5897865158882183</v>
      </c>
      <c r="I28" s="15">
        <f t="shared" si="20"/>
        <v>-2.6910720132820733</v>
      </c>
      <c r="J28" s="15">
        <f t="shared" si="21"/>
        <v>3.5611409434118031E-3</v>
      </c>
      <c r="K28" s="16" t="str">
        <f t="shared" si="22"/>
        <v>Significativa</v>
      </c>
      <c r="M28" s="18" t="s">
        <v>25</v>
      </c>
      <c r="N28" s="14">
        <v>12.672230000000001</v>
      </c>
      <c r="O28" s="14">
        <v>1.0468999999999999</v>
      </c>
      <c r="P28" s="14">
        <v>9.9673800000000004</v>
      </c>
      <c r="Q28" s="14">
        <v>0.80090000000000006</v>
      </c>
      <c r="R28" s="4"/>
      <c r="S28" s="14">
        <f t="shared" si="23"/>
        <v>-2.7048500000000004</v>
      </c>
      <c r="T28" s="15">
        <f t="shared" si="24"/>
        <v>1.3181200324704878</v>
      </c>
      <c r="U28" s="15">
        <f t="shared" si="25"/>
        <v>-2.0520513559986129</v>
      </c>
      <c r="V28" s="15">
        <f t="shared" si="26"/>
        <v>2.0082335833796299E-2</v>
      </c>
      <c r="W28" s="16" t="str">
        <f t="shared" si="27"/>
        <v>Significativa</v>
      </c>
    </row>
    <row r="29" spans="1:23" x14ac:dyDescent="0.25">
      <c r="A29" s="18" t="s">
        <v>26</v>
      </c>
      <c r="B29" s="14">
        <v>17.933450000000001</v>
      </c>
      <c r="C29" s="14">
        <v>1.1341399999999999</v>
      </c>
      <c r="D29" s="14">
        <v>16.965</v>
      </c>
      <c r="E29" s="14">
        <v>0.89837000000000011</v>
      </c>
      <c r="F29" s="4"/>
      <c r="G29" s="14">
        <f t="shared" si="18"/>
        <v>-0.9684500000000007</v>
      </c>
      <c r="H29" s="15">
        <f t="shared" si="19"/>
        <v>1.4468386905595247</v>
      </c>
      <c r="I29" s="15">
        <f t="shared" si="20"/>
        <v>-0.66935589041061616</v>
      </c>
      <c r="J29" s="15">
        <f t="shared" si="21"/>
        <v>0.25163424103418219</v>
      </c>
      <c r="K29" s="16" t="str">
        <f t="shared" si="22"/>
        <v>No significativa</v>
      </c>
      <c r="M29" s="18" t="s">
        <v>26</v>
      </c>
      <c r="N29" s="14">
        <v>13.870560000000001</v>
      </c>
      <c r="O29" s="14">
        <v>0.90484999999999993</v>
      </c>
      <c r="P29" s="14">
        <v>16.965</v>
      </c>
      <c r="Q29" s="14">
        <v>0.89837000000000011</v>
      </c>
      <c r="R29" s="4"/>
      <c r="S29" s="14">
        <f t="shared" si="23"/>
        <v>3.0944399999999987</v>
      </c>
      <c r="T29" s="15">
        <f t="shared" si="24"/>
        <v>1.2750773229102619</v>
      </c>
      <c r="U29" s="15">
        <f t="shared" si="25"/>
        <v>2.426864586484204</v>
      </c>
      <c r="V29" s="15">
        <f t="shared" si="26"/>
        <v>7.6149696045727522E-3</v>
      </c>
      <c r="W29" s="16" t="str">
        <f t="shared" si="27"/>
        <v>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10.963280000000001</v>
      </c>
      <c r="C31" s="14">
        <v>1.2337</v>
      </c>
      <c r="D31" s="14">
        <v>12.179679999999999</v>
      </c>
      <c r="E31" s="14">
        <v>0.76255000000000006</v>
      </c>
      <c r="F31" s="22"/>
      <c r="G31" s="14">
        <f t="shared" ref="G31:G32" si="28">D31-B31</f>
        <v>1.2163999999999984</v>
      </c>
      <c r="H31" s="15">
        <f t="shared" ref="H31:H32" si="29">SQRT(E31*E31+C31*C31)</f>
        <v>1.4503441634660375</v>
      </c>
      <c r="I31" s="15">
        <f t="shared" ref="I31:I32" si="30">G31/H31</f>
        <v>0.83869748342561778</v>
      </c>
      <c r="J31" s="15">
        <f>IF(I31&gt;0,(1-NORMSDIST(I31)),(NORMSDIST(I31)))</f>
        <v>0.20081954544932734</v>
      </c>
      <c r="K31" s="16" t="str">
        <f t="shared" ref="K31:K32" si="31">IF(J31&lt;0.025,"Significativa","No significativa")</f>
        <v>No significativa</v>
      </c>
      <c r="M31" s="21" t="s">
        <v>28</v>
      </c>
      <c r="N31" s="14">
        <v>7.6714900000000004</v>
      </c>
      <c r="O31" s="14">
        <v>0.68123999999999996</v>
      </c>
      <c r="P31" s="14">
        <v>12.179679999999999</v>
      </c>
      <c r="Q31" s="14">
        <v>0.76255000000000006</v>
      </c>
      <c r="R31" s="22"/>
      <c r="S31" s="14">
        <f t="shared" ref="S31:S32" si="32">P31-N31</f>
        <v>4.508189999999999</v>
      </c>
      <c r="T31" s="15">
        <f t="shared" ref="T31:T32" si="33">SQRT(Q31*Q31+O31*O31)</f>
        <v>1.0225313883201825</v>
      </c>
      <c r="U31" s="15">
        <f t="shared" ref="U31:U32" si="34">S31/T31</f>
        <v>4.4088524337683817</v>
      </c>
      <c r="V31" s="15">
        <f>IF(U31&gt;0,(1-NORMSDIST(U31)),(NORMSDIST(U31)))</f>
        <v>5.1959900300158068E-6</v>
      </c>
      <c r="W31" s="16" t="str">
        <f t="shared" ref="W31:W32" si="35">IF(V31&lt;0.025,"Significativa","No significativa")</f>
        <v>Significativa</v>
      </c>
    </row>
    <row r="32" spans="1:23" ht="15" customHeight="1" thickBot="1" x14ac:dyDescent="0.3">
      <c r="A32" s="23" t="s">
        <v>29</v>
      </c>
      <c r="B32" s="30">
        <v>40.306560000000005</v>
      </c>
      <c r="C32" s="30">
        <v>1.6595200000000001</v>
      </c>
      <c r="D32" s="30">
        <v>41.178440000000002</v>
      </c>
      <c r="E32" s="30">
        <v>1.20167</v>
      </c>
      <c r="F32" s="24"/>
      <c r="G32" s="30">
        <f t="shared" si="28"/>
        <v>0.87187999999999732</v>
      </c>
      <c r="H32" s="25">
        <f t="shared" si="29"/>
        <v>2.0489063959341824</v>
      </c>
      <c r="I32" s="25">
        <f t="shared" si="30"/>
        <v>0.42553432491115373</v>
      </c>
      <c r="J32" s="25">
        <f>IF(I32&gt;0,(1-NORMSDIST(I32)),(NORMSDIST(I32)))</f>
        <v>0.33522360240538895</v>
      </c>
      <c r="K32" s="26" t="str">
        <f t="shared" si="31"/>
        <v>No significativa</v>
      </c>
      <c r="M32" s="23" t="s">
        <v>29</v>
      </c>
      <c r="N32" s="30">
        <v>33.924430000000001</v>
      </c>
      <c r="O32" s="30">
        <v>1.2061499999999998</v>
      </c>
      <c r="P32" s="30">
        <v>41.178440000000002</v>
      </c>
      <c r="Q32" s="30">
        <v>1.20167</v>
      </c>
      <c r="R32" s="24"/>
      <c r="S32" s="30">
        <f t="shared" si="32"/>
        <v>7.254010000000001</v>
      </c>
      <c r="T32" s="25">
        <f t="shared" si="33"/>
        <v>1.7025887969207363</v>
      </c>
      <c r="U32" s="25">
        <f t="shared" si="34"/>
        <v>4.2605766072932232</v>
      </c>
      <c r="V32" s="25">
        <f>IF(U32&gt;0,(1-NORMSDIST(U32)),(NORMSDIST(U32)))</f>
        <v>1.0195008831703767E-5</v>
      </c>
      <c r="W32" s="26" t="str">
        <f t="shared" si="35"/>
        <v>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S12:T12"/>
    <mergeCell ref="V11:V12"/>
    <mergeCell ref="W11:W12"/>
    <mergeCell ref="M9:W9"/>
    <mergeCell ref="M10:W10"/>
    <mergeCell ref="M11:M12"/>
    <mergeCell ref="N11:O11"/>
    <mergeCell ref="P11:Q11"/>
    <mergeCell ref="U11:U12"/>
    <mergeCell ref="I11:I12"/>
    <mergeCell ref="J11:J12"/>
    <mergeCell ref="K11:K12"/>
    <mergeCell ref="G12:H12"/>
    <mergeCell ref="A9:K9"/>
    <mergeCell ref="A10:K10"/>
    <mergeCell ref="A11:A12"/>
    <mergeCell ref="B11:C11"/>
    <mergeCell ref="D11:E1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72E2-025A-4511-A832-0768641DB2DB}">
  <dimension ref="A9:W34"/>
  <sheetViews>
    <sheetView workbookViewId="0">
      <selection activeCell="X1" sqref="X1:AJ1048576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customHeight="1" x14ac:dyDescent="0.25">
      <c r="A9" s="54" t="s">
        <v>45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46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ht="15" customHeight="1" x14ac:dyDescent="0.25">
      <c r="A14" s="13" t="s">
        <v>11</v>
      </c>
      <c r="B14" s="14">
        <v>33.690569999999994</v>
      </c>
      <c r="C14" s="14">
        <v>1.64439</v>
      </c>
      <c r="D14" s="14">
        <v>44.835429999999995</v>
      </c>
      <c r="E14" s="14">
        <v>1.3819400000000002</v>
      </c>
      <c r="F14" s="4"/>
      <c r="G14" s="14">
        <f>D14-B14</f>
        <v>11.144860000000001</v>
      </c>
      <c r="H14" s="15">
        <f>SQRT(E14*E14+C14*C14)</f>
        <v>2.1479703526119724</v>
      </c>
      <c r="I14" s="15">
        <f>G14/H14</f>
        <v>5.1885539232176283</v>
      </c>
      <c r="J14" s="15">
        <f>IF(I14&gt;0,(1-NORMSDIST(I14)),(NORMSDIST(I14)))</f>
        <v>1.0596669741680387E-7</v>
      </c>
      <c r="K14" s="16" t="str">
        <f>IF(J14&lt;0.025,"Significativa","No significativa")</f>
        <v>Significativa</v>
      </c>
      <c r="M14" s="13" t="s">
        <v>11</v>
      </c>
      <c r="N14" s="14">
        <v>27.565430000000003</v>
      </c>
      <c r="O14" s="14">
        <v>1.39472</v>
      </c>
      <c r="P14" s="14">
        <v>44.835429999999995</v>
      </c>
      <c r="Q14" s="14">
        <v>1.3819400000000002</v>
      </c>
      <c r="R14" s="4"/>
      <c r="S14" s="14">
        <f>P14-N14</f>
        <v>17.269999999999992</v>
      </c>
      <c r="T14" s="15">
        <f>SQRT(Q14*Q14+O14*O14)</f>
        <v>1.9634159116193393</v>
      </c>
      <c r="U14" s="15">
        <f>S14/T14</f>
        <v>8.7958948981708378</v>
      </c>
      <c r="V14" s="15">
        <f>IF(U14&gt;0,(1-NORMSDIST(U14)),(NORMSDIST(U14)))</f>
        <v>0</v>
      </c>
      <c r="W14" s="16" t="str">
        <f>IF(V14&lt;0.025,"Significativa","No significativa")</f>
        <v>Significativa</v>
      </c>
    </row>
    <row r="15" spans="1:23" ht="15" customHeight="1" x14ac:dyDescent="0.25">
      <c r="A15" s="13" t="s">
        <v>12</v>
      </c>
      <c r="B15" s="14">
        <v>25.956699999999998</v>
      </c>
      <c r="C15" s="14">
        <v>1.3571500000000001</v>
      </c>
      <c r="D15" s="14">
        <v>35.313250000000004</v>
      </c>
      <c r="E15" s="14">
        <v>1.2947500000000001</v>
      </c>
      <c r="F15" s="4"/>
      <c r="G15" s="14">
        <f t="shared" ref="G15:G19" si="0">D15-B15</f>
        <v>9.3565500000000057</v>
      </c>
      <c r="H15" s="15">
        <f t="shared" ref="H15:H19" si="1">SQRT(E15*E15+C15*C15)</f>
        <v>1.8756955203337242</v>
      </c>
      <c r="I15" s="15">
        <f t="shared" ref="I15:I19" si="2">G15/H15</f>
        <v>4.988309615590107</v>
      </c>
      <c r="J15" s="15">
        <f t="shared" ref="J15:J19" si="3">IF(I15&gt;0,(1-NORMSDIST(I15)),(NORMSDIST(I15)))</f>
        <v>3.0454948085623101E-7</v>
      </c>
      <c r="K15" s="16" t="str">
        <f t="shared" ref="K15:K19" si="4">IF(J15&lt;0.025,"Significativa","No significativa")</f>
        <v>Significativa</v>
      </c>
      <c r="M15" s="13" t="s">
        <v>12</v>
      </c>
      <c r="N15" s="14">
        <v>24.094850000000001</v>
      </c>
      <c r="O15" s="14">
        <v>1.2161299999999999</v>
      </c>
      <c r="P15" s="14">
        <v>35.313250000000004</v>
      </c>
      <c r="Q15" s="14">
        <v>1.2947500000000001</v>
      </c>
      <c r="R15" s="4"/>
      <c r="S15" s="14">
        <f t="shared" ref="S15:S19" si="5">P15-N15</f>
        <v>11.218400000000003</v>
      </c>
      <c r="T15" s="15">
        <f t="shared" ref="T15:T19" si="6">SQRT(Q15*Q15+O15*O15)</f>
        <v>1.776330413915159</v>
      </c>
      <c r="U15" s="15">
        <f t="shared" ref="U15:U19" si="7">S15/T15</f>
        <v>6.3154917081410815</v>
      </c>
      <c r="V15" s="15">
        <f t="shared" ref="V15:V19" si="8">IF(U15&gt;0,(1-NORMSDIST(U15)),(NORMSDIST(U15)))</f>
        <v>1.346519562517301E-10</v>
      </c>
      <c r="W15" s="16" t="str">
        <f t="shared" ref="W15:W19" si="9">IF(V15&lt;0.025,"Significativa","No significativa")</f>
        <v>Significativa</v>
      </c>
    </row>
    <row r="16" spans="1:23" ht="15" customHeight="1" x14ac:dyDescent="0.25">
      <c r="A16" s="13" t="s">
        <v>13</v>
      </c>
      <c r="B16" s="31">
        <v>7.7338699999999996</v>
      </c>
      <c r="C16" s="14">
        <v>1.03383</v>
      </c>
      <c r="D16" s="14">
        <v>9.5221799999999988</v>
      </c>
      <c r="E16" s="14">
        <v>0.74548999999999999</v>
      </c>
      <c r="F16" s="4"/>
      <c r="G16" s="14">
        <f t="shared" si="0"/>
        <v>1.7883099999999992</v>
      </c>
      <c r="H16" s="15">
        <f t="shared" si="1"/>
        <v>1.2745822095886949</v>
      </c>
      <c r="I16" s="15">
        <f t="shared" si="2"/>
        <v>1.4030558300174951</v>
      </c>
      <c r="J16" s="15">
        <f t="shared" si="3"/>
        <v>8.0300095584164843E-2</v>
      </c>
      <c r="K16" s="16" t="str">
        <f t="shared" si="4"/>
        <v>No significativa</v>
      </c>
      <c r="M16" s="13" t="s">
        <v>13</v>
      </c>
      <c r="N16" s="31">
        <v>3.47058</v>
      </c>
      <c r="O16" s="14">
        <v>0.59340000000000004</v>
      </c>
      <c r="P16" s="14">
        <v>9.5221799999999988</v>
      </c>
      <c r="Q16" s="14">
        <v>0.74548999999999999</v>
      </c>
      <c r="R16" s="4"/>
      <c r="S16" s="14">
        <f t="shared" si="5"/>
        <v>6.0515999999999988</v>
      </c>
      <c r="T16" s="15">
        <f t="shared" si="6"/>
        <v>0.95282679438605211</v>
      </c>
      <c r="U16" s="15">
        <f t="shared" si="7"/>
        <v>6.3512067834944848</v>
      </c>
      <c r="V16" s="15">
        <f t="shared" si="8"/>
        <v>1.0681611151142079E-10</v>
      </c>
      <c r="W16" s="16" t="str">
        <f t="shared" si="9"/>
        <v>Significativa</v>
      </c>
    </row>
    <row r="17" spans="1:23" ht="15" customHeight="1" x14ac:dyDescent="0.25">
      <c r="A17" s="13" t="s">
        <v>14</v>
      </c>
      <c r="B17" s="14">
        <v>38.37236</v>
      </c>
      <c r="C17" s="14">
        <v>1.4890699999999999</v>
      </c>
      <c r="D17" s="14">
        <v>26.063570000000002</v>
      </c>
      <c r="E17" s="14">
        <v>1.11009</v>
      </c>
      <c r="F17" s="4"/>
      <c r="G17" s="14">
        <f t="shared" si="0"/>
        <v>-12.308789999999998</v>
      </c>
      <c r="H17" s="15">
        <f t="shared" si="1"/>
        <v>1.8573177630658679</v>
      </c>
      <c r="I17" s="15">
        <f t="shared" si="2"/>
        <v>-6.6271858508917303</v>
      </c>
      <c r="J17" s="15">
        <f t="shared" si="3"/>
        <v>1.7107337791531103E-11</v>
      </c>
      <c r="K17" s="16" t="str">
        <f t="shared" si="4"/>
        <v>Significativa</v>
      </c>
      <c r="M17" s="13" t="s">
        <v>14</v>
      </c>
      <c r="N17" s="14">
        <v>41.217150000000004</v>
      </c>
      <c r="O17" s="14">
        <v>1.3614599999999999</v>
      </c>
      <c r="P17" s="14">
        <v>26.063570000000002</v>
      </c>
      <c r="Q17" s="14">
        <v>1.11009</v>
      </c>
      <c r="R17" s="4"/>
      <c r="S17" s="14">
        <f t="shared" si="5"/>
        <v>-15.153580000000002</v>
      </c>
      <c r="T17" s="15">
        <f t="shared" si="6"/>
        <v>1.7566653465301807</v>
      </c>
      <c r="U17" s="15">
        <f t="shared" si="7"/>
        <v>-8.6263328584080163</v>
      </c>
      <c r="V17" s="15">
        <f t="shared" si="8"/>
        <v>3.1675235716349508E-18</v>
      </c>
      <c r="W17" s="16" t="str">
        <f t="shared" si="9"/>
        <v>Significativa</v>
      </c>
    </row>
    <row r="18" spans="1:23" ht="15" customHeight="1" x14ac:dyDescent="0.25">
      <c r="A18" s="13" t="s">
        <v>15</v>
      </c>
      <c r="B18" s="14">
        <v>4.9584000000000001</v>
      </c>
      <c r="C18" s="14">
        <v>0.65300000000000002</v>
      </c>
      <c r="D18" s="14">
        <v>7.4169200000000002</v>
      </c>
      <c r="E18" s="14">
        <v>0.67514000000000007</v>
      </c>
      <c r="F18" s="4"/>
      <c r="G18" s="14">
        <f t="shared" si="0"/>
        <v>2.45852</v>
      </c>
      <c r="H18" s="15">
        <f t="shared" si="1"/>
        <v>0.93926727804177235</v>
      </c>
      <c r="I18" s="15">
        <f t="shared" si="2"/>
        <v>2.6174871173257901</v>
      </c>
      <c r="J18" s="15">
        <f t="shared" si="3"/>
        <v>4.4289915935574742E-3</v>
      </c>
      <c r="K18" s="16" t="str">
        <f t="shared" si="4"/>
        <v>Significativa</v>
      </c>
      <c r="M18" s="13" t="s">
        <v>15</v>
      </c>
      <c r="N18" s="14">
        <v>4.0900600000000003</v>
      </c>
      <c r="O18" s="14">
        <v>0.46601000000000004</v>
      </c>
      <c r="P18" s="14">
        <v>7.4169200000000002</v>
      </c>
      <c r="Q18" s="14">
        <v>0.67514000000000007</v>
      </c>
      <c r="R18" s="4"/>
      <c r="S18" s="14">
        <f t="shared" si="5"/>
        <v>3.3268599999999999</v>
      </c>
      <c r="T18" s="15">
        <f t="shared" si="6"/>
        <v>0.82035317985609113</v>
      </c>
      <c r="U18" s="15">
        <f t="shared" si="7"/>
        <v>4.0553996518714142</v>
      </c>
      <c r="V18" s="15">
        <f t="shared" si="8"/>
        <v>2.5024327856670858E-5</v>
      </c>
      <c r="W18" s="16" t="str">
        <f t="shared" si="9"/>
        <v>Significativa</v>
      </c>
    </row>
    <row r="19" spans="1:23" ht="15" customHeight="1" x14ac:dyDescent="0.25">
      <c r="A19" s="13" t="s">
        <v>16</v>
      </c>
      <c r="B19" s="14">
        <v>22.978670000000001</v>
      </c>
      <c r="C19" s="14">
        <v>1.1759500000000001</v>
      </c>
      <c r="D19" s="14">
        <v>21.684069999999998</v>
      </c>
      <c r="E19" s="14">
        <v>1.18224</v>
      </c>
      <c r="F19" s="4"/>
      <c r="G19" s="14">
        <f t="shared" si="0"/>
        <v>-1.2946000000000026</v>
      </c>
      <c r="H19" s="15">
        <f t="shared" si="1"/>
        <v>1.6674980719928885</v>
      </c>
      <c r="I19" s="15">
        <f t="shared" si="2"/>
        <v>-0.77637271175538958</v>
      </c>
      <c r="J19" s="15">
        <f t="shared" si="3"/>
        <v>0.21876447601198695</v>
      </c>
      <c r="K19" s="16" t="str">
        <f t="shared" si="4"/>
        <v>No significativa</v>
      </c>
      <c r="M19" s="13" t="s">
        <v>16</v>
      </c>
      <c r="N19" s="14">
        <v>27.127359999999999</v>
      </c>
      <c r="O19" s="14">
        <v>1.2199399999999998</v>
      </c>
      <c r="P19" s="14">
        <v>21.684069999999998</v>
      </c>
      <c r="Q19" s="14">
        <v>1.18224</v>
      </c>
      <c r="R19" s="4"/>
      <c r="S19" s="14">
        <f t="shared" si="5"/>
        <v>-5.4432900000000011</v>
      </c>
      <c r="T19" s="15">
        <f t="shared" si="6"/>
        <v>1.6988069405320898</v>
      </c>
      <c r="U19" s="15">
        <f t="shared" si="7"/>
        <v>-3.2041839894385453</v>
      </c>
      <c r="V19" s="15">
        <f t="shared" si="8"/>
        <v>6.7722944632008387E-4</v>
      </c>
      <c r="W19" s="16" t="str">
        <f t="shared" si="9"/>
        <v>Significativa</v>
      </c>
    </row>
    <row r="20" spans="1:23" ht="15" customHeight="1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72.062930000000009</v>
      </c>
      <c r="C21" s="14">
        <v>1.3164400000000001</v>
      </c>
      <c r="D21" s="14">
        <v>70.899000000000001</v>
      </c>
      <c r="E21" s="14">
        <v>1.2307999999999999</v>
      </c>
      <c r="F21" s="4"/>
      <c r="G21" s="14">
        <f t="shared" ref="G21:G22" si="10">D21-B21</f>
        <v>-1.1639300000000077</v>
      </c>
      <c r="H21" s="15">
        <f t="shared" ref="H21:H22" si="11">SQRT(E21*E21+C21*C21)</f>
        <v>1.8021883679571344</v>
      </c>
      <c r="I21" s="15">
        <f t="shared" ref="I21:I22" si="12">G21/H21</f>
        <v>-0.64584258820812235</v>
      </c>
      <c r="J21" s="15">
        <f>IF(I21&gt;0,(1-NORMSDIST(I21)),(NORMSDIST(I21)))</f>
        <v>0.25919065190219032</v>
      </c>
      <c r="K21" s="16" t="str">
        <f t="shared" ref="K21:K22" si="13">IF(J21&lt;0.025,"Significativa","No significativa")</f>
        <v>No significativa</v>
      </c>
      <c r="M21" s="18" t="s">
        <v>18</v>
      </c>
      <c r="N21" s="14">
        <v>68.78258000000001</v>
      </c>
      <c r="O21" s="14">
        <v>1.2287299999999999</v>
      </c>
      <c r="P21" s="14">
        <v>70.899000000000001</v>
      </c>
      <c r="Q21" s="14">
        <v>1.2307999999999999</v>
      </c>
      <c r="R21" s="4"/>
      <c r="S21" s="14">
        <f t="shared" ref="S21:S22" si="14">P21-N21</f>
        <v>2.1164199999999909</v>
      </c>
      <c r="T21" s="15">
        <f t="shared" ref="T21:T22" si="15">SQRT(Q21*Q21+O21*O21)</f>
        <v>1.7391509574789648</v>
      </c>
      <c r="U21" s="15">
        <f t="shared" ref="U21:U22" si="16">S21/T21</f>
        <v>1.216927139589945</v>
      </c>
      <c r="V21" s="15">
        <f>IF(U21&gt;0,(1-NORMSDIST(U21)),(NORMSDIST(U21)))</f>
        <v>0.11181596931173754</v>
      </c>
      <c r="W21" s="16" t="str">
        <f t="shared" ref="W21:W22" si="17">IF(V21&lt;0.025,"Significativa","No significativa")</f>
        <v>No significativa</v>
      </c>
    </row>
    <row r="22" spans="1:23" x14ac:dyDescent="0.25">
      <c r="A22" s="18" t="s">
        <v>19</v>
      </c>
      <c r="B22" s="14">
        <v>26.45844</v>
      </c>
      <c r="C22" s="14">
        <v>1.34806</v>
      </c>
      <c r="D22" s="14">
        <v>23.866070000000001</v>
      </c>
      <c r="E22" s="14">
        <v>0.9626300000000001</v>
      </c>
      <c r="F22" s="4"/>
      <c r="G22" s="14">
        <f t="shared" si="10"/>
        <v>-2.592369999999999</v>
      </c>
      <c r="H22" s="15">
        <f t="shared" si="11"/>
        <v>1.6564788801853165</v>
      </c>
      <c r="I22" s="15">
        <f t="shared" si="12"/>
        <v>-1.5649882597416398</v>
      </c>
      <c r="J22" s="15">
        <f>IF(I22&gt;0,(1-NORMSDIST(I22)),(NORMSDIST(I22)))</f>
        <v>5.8792831069644703E-2</v>
      </c>
      <c r="K22" s="16" t="str">
        <f t="shared" si="13"/>
        <v>No significativa</v>
      </c>
      <c r="M22" s="18" t="s">
        <v>19</v>
      </c>
      <c r="N22" s="14">
        <v>20.88157</v>
      </c>
      <c r="O22" s="14">
        <v>1.3268500000000001</v>
      </c>
      <c r="P22" s="14">
        <v>23.866070000000001</v>
      </c>
      <c r="Q22" s="14">
        <v>0.9626300000000001</v>
      </c>
      <c r="R22" s="4"/>
      <c r="S22" s="14">
        <f t="shared" si="14"/>
        <v>2.9845000000000006</v>
      </c>
      <c r="T22" s="15">
        <f t="shared" si="15"/>
        <v>1.6392642982142935</v>
      </c>
      <c r="U22" s="15">
        <f t="shared" si="16"/>
        <v>1.8206338070383881</v>
      </c>
      <c r="V22" s="15">
        <f>IF(U22&gt;0,(1-NORMSDIST(U22)),(NORMSDIST(U22)))</f>
        <v>3.4331270130356639E-2</v>
      </c>
      <c r="W22" s="16" t="str">
        <f t="shared" si="17"/>
        <v>No 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ht="25.5" customHeight="1" x14ac:dyDescent="0.25">
      <c r="A24" s="20" t="s">
        <v>21</v>
      </c>
      <c r="B24" s="14">
        <v>18.669250000000002</v>
      </c>
      <c r="C24" s="14">
        <v>0.74436000000000002</v>
      </c>
      <c r="D24" s="14">
        <v>14.826120000000001</v>
      </c>
      <c r="E24" s="14">
        <v>0.55828</v>
      </c>
      <c r="F24" s="4"/>
      <c r="G24" s="14">
        <f t="shared" ref="G24:G29" si="18">D24-B24</f>
        <v>-3.8431300000000004</v>
      </c>
      <c r="H24" s="15">
        <f t="shared" ref="H24:H29" si="19">SQRT(E24*E24+C24*C24)</f>
        <v>0.93045600003439177</v>
      </c>
      <c r="I24" s="15">
        <f t="shared" ref="I24:I29" si="20">G24/H24</f>
        <v>-4.1303726343405271</v>
      </c>
      <c r="J24" s="15">
        <f t="shared" ref="J24:J29" si="21">IF(I24&gt;0,(1-NORMSDIST(I24)),(NORMSDIST(I24)))</f>
        <v>1.8108785220629698E-5</v>
      </c>
      <c r="K24" s="16" t="str">
        <f t="shared" ref="K24:K29" si="22">IF(J24&lt;0.025,"Significativa","No significativa")</f>
        <v>Significativa</v>
      </c>
      <c r="M24" s="20" t="s">
        <v>21</v>
      </c>
      <c r="N24" s="14">
        <v>15.039009999999999</v>
      </c>
      <c r="O24" s="14">
        <v>0.67026000000000008</v>
      </c>
      <c r="P24" s="14">
        <v>14.826120000000001</v>
      </c>
      <c r="Q24" s="14">
        <v>0.55828</v>
      </c>
      <c r="R24" s="4"/>
      <c r="S24" s="14">
        <f t="shared" ref="S24:S29" si="23">P24-N24</f>
        <v>-0.21288999999999803</v>
      </c>
      <c r="T24" s="15">
        <f t="shared" ref="T24:T29" si="24">SQRT(Q24*Q24+O24*O24)</f>
        <v>0.87231016616797497</v>
      </c>
      <c r="U24" s="15">
        <f t="shared" ref="U24:U29" si="25">S24/T24</f>
        <v>-0.24405309975374426</v>
      </c>
      <c r="V24" s="15">
        <f t="shared" ref="V24:V29" si="26">IF(U24&gt;0,(1-NORMSDIST(U24)),(NORMSDIST(U24)))</f>
        <v>0.40359484765957965</v>
      </c>
      <c r="W24" s="16" t="str">
        <f t="shared" ref="W24:W29" si="27">IF(V24&lt;0.025,"Significativa","No significativa")</f>
        <v>No significativa</v>
      </c>
    </row>
    <row r="25" spans="1:23" x14ac:dyDescent="0.25">
      <c r="A25" s="18" t="s">
        <v>22</v>
      </c>
      <c r="B25" s="14">
        <v>34.574759999999998</v>
      </c>
      <c r="C25" s="14">
        <v>1.37453</v>
      </c>
      <c r="D25" s="14">
        <v>24.81888</v>
      </c>
      <c r="E25" s="14">
        <v>0.88007999999999997</v>
      </c>
      <c r="F25" s="4"/>
      <c r="G25" s="14">
        <f t="shared" si="18"/>
        <v>-9.7558799999999977</v>
      </c>
      <c r="H25" s="15">
        <f t="shared" si="19"/>
        <v>1.6321377170141005</v>
      </c>
      <c r="I25" s="15">
        <f t="shared" si="20"/>
        <v>-5.9773632447192044</v>
      </c>
      <c r="J25" s="15">
        <f t="shared" si="21"/>
        <v>1.1338907934846893E-9</v>
      </c>
      <c r="K25" s="16" t="str">
        <f t="shared" si="22"/>
        <v>Significativa</v>
      </c>
      <c r="M25" s="18" t="s">
        <v>22</v>
      </c>
      <c r="N25" s="14">
        <v>15.635499999999999</v>
      </c>
      <c r="O25" s="14">
        <v>0.78162000000000009</v>
      </c>
      <c r="P25" s="14">
        <v>24.81888</v>
      </c>
      <c r="Q25" s="14">
        <v>0.88007999999999997</v>
      </c>
      <c r="R25" s="4"/>
      <c r="S25" s="14">
        <f t="shared" si="23"/>
        <v>9.1833800000000014</v>
      </c>
      <c r="T25" s="15">
        <f t="shared" si="24"/>
        <v>1.1770601644775853</v>
      </c>
      <c r="U25" s="15">
        <f t="shared" si="25"/>
        <v>7.8019631257131712</v>
      </c>
      <c r="V25" s="15">
        <f t="shared" si="26"/>
        <v>2.9976021664879227E-15</v>
      </c>
      <c r="W25" s="16" t="str">
        <f t="shared" si="27"/>
        <v>Significativa</v>
      </c>
    </row>
    <row r="26" spans="1:23" x14ac:dyDescent="0.25">
      <c r="A26" s="18" t="s">
        <v>23</v>
      </c>
      <c r="B26" s="14">
        <v>58.436590000000002</v>
      </c>
      <c r="C26" s="14">
        <v>1.43516</v>
      </c>
      <c r="D26" s="14">
        <v>52.704390000000004</v>
      </c>
      <c r="E26" s="14">
        <v>1.1437200000000001</v>
      </c>
      <c r="F26" s="4"/>
      <c r="G26" s="14">
        <f t="shared" si="18"/>
        <v>-5.7321999999999989</v>
      </c>
      <c r="H26" s="15">
        <f t="shared" si="19"/>
        <v>1.8351511283815292</v>
      </c>
      <c r="I26" s="15">
        <f t="shared" si="20"/>
        <v>-3.1235574614802353</v>
      </c>
      <c r="J26" s="15">
        <f t="shared" si="21"/>
        <v>8.9339486267710417E-4</v>
      </c>
      <c r="K26" s="16" t="str">
        <f t="shared" si="22"/>
        <v>Significativa</v>
      </c>
      <c r="M26" s="18" t="s">
        <v>23</v>
      </c>
      <c r="N26" s="14">
        <v>51.737029999999997</v>
      </c>
      <c r="O26" s="14">
        <v>1.2268400000000002</v>
      </c>
      <c r="P26" s="14">
        <v>52.704390000000004</v>
      </c>
      <c r="Q26" s="14">
        <v>1.1437200000000001</v>
      </c>
      <c r="R26" s="4"/>
      <c r="S26" s="14">
        <f t="shared" si="23"/>
        <v>0.96736000000000644</v>
      </c>
      <c r="T26" s="15">
        <f t="shared" si="24"/>
        <v>1.6772691566948938</v>
      </c>
      <c r="U26" s="15">
        <f t="shared" si="25"/>
        <v>0.57674702723695015</v>
      </c>
      <c r="V26" s="15">
        <f t="shared" si="26"/>
        <v>0.28205517950057257</v>
      </c>
      <c r="W26" s="16" t="str">
        <f t="shared" si="27"/>
        <v>No significativa</v>
      </c>
    </row>
    <row r="27" spans="1:23" x14ac:dyDescent="0.25">
      <c r="A27" s="18" t="s">
        <v>24</v>
      </c>
      <c r="B27" s="14">
        <v>25.759260000000001</v>
      </c>
      <c r="C27" s="14">
        <v>1.4830700000000001</v>
      </c>
      <c r="D27" s="14">
        <v>14.190910000000001</v>
      </c>
      <c r="E27" s="14">
        <v>0.94474000000000002</v>
      </c>
      <c r="F27" s="4"/>
      <c r="G27" s="14">
        <f t="shared" si="18"/>
        <v>-11.568350000000001</v>
      </c>
      <c r="H27" s="15">
        <f t="shared" si="19"/>
        <v>1.7584169848190163</v>
      </c>
      <c r="I27" s="15">
        <f t="shared" si="20"/>
        <v>-6.5788434142034085</v>
      </c>
      <c r="J27" s="15">
        <f t="shared" si="21"/>
        <v>2.3706087421835414E-11</v>
      </c>
      <c r="K27" s="16" t="str">
        <f t="shared" si="22"/>
        <v>Significativa</v>
      </c>
      <c r="M27" s="18" t="s">
        <v>24</v>
      </c>
      <c r="N27" s="14">
        <v>20.987220000000001</v>
      </c>
      <c r="O27" s="14">
        <v>1.5341100000000001</v>
      </c>
      <c r="P27" s="14">
        <v>14.190910000000001</v>
      </c>
      <c r="Q27" s="14">
        <v>0.94474000000000002</v>
      </c>
      <c r="R27" s="4"/>
      <c r="S27" s="14">
        <f t="shared" si="23"/>
        <v>-6.7963100000000001</v>
      </c>
      <c r="T27" s="15">
        <f t="shared" si="24"/>
        <v>1.8016734331448638</v>
      </c>
      <c r="U27" s="15">
        <f t="shared" si="25"/>
        <v>-3.7722208003793893</v>
      </c>
      <c r="V27" s="15">
        <f t="shared" si="26"/>
        <v>8.0900487080137428E-5</v>
      </c>
      <c r="W27" s="16" t="str">
        <f t="shared" si="27"/>
        <v>Significativa</v>
      </c>
    </row>
    <row r="28" spans="1:23" x14ac:dyDescent="0.25">
      <c r="A28" s="18" t="s">
        <v>25</v>
      </c>
      <c r="B28" s="14">
        <v>12.933059999999999</v>
      </c>
      <c r="C28" s="14">
        <v>1.14798</v>
      </c>
      <c r="D28" s="14">
        <v>21.367570000000001</v>
      </c>
      <c r="E28" s="14">
        <v>1.2872700000000001</v>
      </c>
      <c r="F28" s="4"/>
      <c r="G28" s="14">
        <f t="shared" si="18"/>
        <v>8.4345100000000013</v>
      </c>
      <c r="H28" s="15">
        <f t="shared" si="19"/>
        <v>1.7247962584896803</v>
      </c>
      <c r="I28" s="15">
        <f t="shared" si="20"/>
        <v>4.890148594933577</v>
      </c>
      <c r="J28" s="15">
        <f t="shared" si="21"/>
        <v>5.0379942773126629E-7</v>
      </c>
      <c r="K28" s="16" t="str">
        <f t="shared" si="22"/>
        <v>Significativa</v>
      </c>
      <c r="M28" s="18" t="s">
        <v>25</v>
      </c>
      <c r="N28" s="14">
        <v>21.778310000000001</v>
      </c>
      <c r="O28" s="14">
        <v>1.5899099999999999</v>
      </c>
      <c r="P28" s="14">
        <v>21.367570000000001</v>
      </c>
      <c r="Q28" s="14">
        <v>1.2872700000000001</v>
      </c>
      <c r="R28" s="4"/>
      <c r="S28" s="14">
        <f t="shared" si="23"/>
        <v>-0.41074000000000055</v>
      </c>
      <c r="T28" s="15">
        <f t="shared" si="24"/>
        <v>2.0456974021100973</v>
      </c>
      <c r="U28" s="15">
        <f t="shared" si="25"/>
        <v>-0.20078238334581164</v>
      </c>
      <c r="V28" s="15">
        <f t="shared" si="26"/>
        <v>0.42043436923623989</v>
      </c>
      <c r="W28" s="16" t="str">
        <f t="shared" si="27"/>
        <v>No significativa</v>
      </c>
    </row>
    <row r="29" spans="1:23" x14ac:dyDescent="0.25">
      <c r="A29" s="18" t="s">
        <v>26</v>
      </c>
      <c r="B29" s="14">
        <v>14.755180000000001</v>
      </c>
      <c r="C29" s="14">
        <v>1.45282</v>
      </c>
      <c r="D29" s="14">
        <v>27.251069999999999</v>
      </c>
      <c r="E29" s="14">
        <v>1.26542</v>
      </c>
      <c r="F29" s="4"/>
      <c r="G29" s="14">
        <f t="shared" si="18"/>
        <v>12.495889999999997</v>
      </c>
      <c r="H29" s="15">
        <f t="shared" si="19"/>
        <v>1.9266483147684219</v>
      </c>
      <c r="I29" s="15">
        <f t="shared" si="20"/>
        <v>6.4858178341188184</v>
      </c>
      <c r="J29" s="15">
        <f t="shared" si="21"/>
        <v>4.4125925136029309E-11</v>
      </c>
      <c r="K29" s="16" t="str">
        <f t="shared" si="22"/>
        <v>Significativa</v>
      </c>
      <c r="M29" s="18" t="s">
        <v>26</v>
      </c>
      <c r="N29" s="14">
        <v>17.92174</v>
      </c>
      <c r="O29" s="14">
        <v>1.1654599999999999</v>
      </c>
      <c r="P29" s="14">
        <v>27.251069999999999</v>
      </c>
      <c r="Q29" s="14">
        <v>1.26542</v>
      </c>
      <c r="R29" s="4"/>
      <c r="S29" s="14">
        <f t="shared" si="23"/>
        <v>9.3293299999999988</v>
      </c>
      <c r="T29" s="15">
        <f t="shared" si="24"/>
        <v>1.7203443806401089</v>
      </c>
      <c r="U29" s="15">
        <f t="shared" si="25"/>
        <v>5.4229432810009381</v>
      </c>
      <c r="V29" s="15">
        <f t="shared" si="26"/>
        <v>2.9312799632030817E-8</v>
      </c>
      <c r="W29" s="16" t="str">
        <f t="shared" si="27"/>
        <v>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13.09108</v>
      </c>
      <c r="C31" s="14">
        <v>1.3388900000000001</v>
      </c>
      <c r="D31" s="14">
        <v>22.407340000000001</v>
      </c>
      <c r="E31" s="14">
        <v>1.1557200000000001</v>
      </c>
      <c r="F31" s="22"/>
      <c r="G31" s="14">
        <f t="shared" ref="G31:G32" si="28">D31-B31</f>
        <v>9.3162600000000015</v>
      </c>
      <c r="H31" s="15">
        <f t="shared" ref="H31:H32" si="29">SQRT(E31*E31+C31*C31)</f>
        <v>1.7687043705775143</v>
      </c>
      <c r="I31" s="15">
        <f t="shared" ref="I31:I32" si="30">G31/H31</f>
        <v>5.2672793458174541</v>
      </c>
      <c r="J31" s="15">
        <f>IF(I31&gt;0,(1-NORMSDIST(I31)),(NORMSDIST(I31)))</f>
        <v>6.9230216115379051E-8</v>
      </c>
      <c r="K31" s="16" t="str">
        <f t="shared" ref="K31:K32" si="31">IF(J31&lt;0.025,"Significativa","No significativa")</f>
        <v>Significativa</v>
      </c>
      <c r="M31" s="21" t="s">
        <v>28</v>
      </c>
      <c r="N31" s="14">
        <v>6.9470199999999993</v>
      </c>
      <c r="O31" s="14">
        <v>0.77393999999999996</v>
      </c>
      <c r="P31" s="14">
        <v>22.407340000000001</v>
      </c>
      <c r="Q31" s="14">
        <v>1.1557200000000001</v>
      </c>
      <c r="R31" s="22"/>
      <c r="S31" s="14">
        <f t="shared" ref="S31:S32" si="32">P31-N31</f>
        <v>15.460320000000003</v>
      </c>
      <c r="T31" s="15">
        <f t="shared" ref="T31:T32" si="33">SQRT(Q31*Q31+O31*O31)</f>
        <v>1.3909248153656617</v>
      </c>
      <c r="U31" s="15">
        <f t="shared" ref="U31:U32" si="34">S31/T31</f>
        <v>11.115137086640893</v>
      </c>
      <c r="V31" s="15">
        <f>IF(U31&gt;0,(1-NORMSDIST(U31)),(NORMSDIST(U31)))</f>
        <v>0</v>
      </c>
      <c r="W31" s="16" t="str">
        <f t="shared" ref="W31:W32" si="35">IF(V31&lt;0.025,"Significativa","No significativa")</f>
        <v>Significativa</v>
      </c>
    </row>
    <row r="32" spans="1:23" ht="15" customHeight="1" thickBot="1" x14ac:dyDescent="0.3">
      <c r="A32" s="23" t="s">
        <v>29</v>
      </c>
      <c r="B32" s="30">
        <v>38.648969999999998</v>
      </c>
      <c r="C32" s="30">
        <v>1.73722</v>
      </c>
      <c r="D32" s="30">
        <v>52.25235</v>
      </c>
      <c r="E32" s="30">
        <v>1.5208200000000001</v>
      </c>
      <c r="F32" s="24"/>
      <c r="G32" s="30">
        <f t="shared" si="28"/>
        <v>13.603380000000001</v>
      </c>
      <c r="H32" s="25">
        <f t="shared" si="29"/>
        <v>2.3088583327696832</v>
      </c>
      <c r="I32" s="25">
        <f t="shared" si="30"/>
        <v>5.8918209952195397</v>
      </c>
      <c r="J32" s="25">
        <f>IF(I32&gt;0,(1-NORMSDIST(I32)),(NORMSDIST(I32)))</f>
        <v>1.9098140846551814E-9</v>
      </c>
      <c r="K32" s="26" t="str">
        <f t="shared" si="31"/>
        <v>Significativa</v>
      </c>
      <c r="M32" s="23" t="s">
        <v>29</v>
      </c>
      <c r="N32" s="30">
        <v>31.655489999999997</v>
      </c>
      <c r="O32" s="30">
        <v>1.4763500000000001</v>
      </c>
      <c r="P32" s="30">
        <v>52.25235</v>
      </c>
      <c r="Q32" s="30">
        <v>1.5208200000000001</v>
      </c>
      <c r="R32" s="24"/>
      <c r="S32" s="30">
        <f t="shared" si="32"/>
        <v>20.596860000000003</v>
      </c>
      <c r="T32" s="25">
        <f t="shared" si="33"/>
        <v>2.1195524987364669</v>
      </c>
      <c r="U32" s="25">
        <f t="shared" si="34"/>
        <v>9.7175512341772379</v>
      </c>
      <c r="V32" s="25">
        <f>IF(U32&gt;0,(1-NORMSDIST(U32)),(NORMSDIST(U32)))</f>
        <v>0</v>
      </c>
      <c r="W32" s="26" t="str">
        <f t="shared" si="35"/>
        <v>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S12:T12"/>
    <mergeCell ref="V11:V12"/>
    <mergeCell ref="W11:W12"/>
    <mergeCell ref="M9:W9"/>
    <mergeCell ref="M10:W10"/>
    <mergeCell ref="M11:M12"/>
    <mergeCell ref="N11:O11"/>
    <mergeCell ref="P11:Q11"/>
    <mergeCell ref="U11:U12"/>
    <mergeCell ref="I11:I12"/>
    <mergeCell ref="J11:J12"/>
    <mergeCell ref="K11:K12"/>
    <mergeCell ref="G12:H12"/>
    <mergeCell ref="A9:K9"/>
    <mergeCell ref="A10:K10"/>
    <mergeCell ref="A11:A12"/>
    <mergeCell ref="B11:C11"/>
    <mergeCell ref="D11:E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2590-9294-4FC0-882D-75D1D5D8C6FB}">
  <dimension ref="A9:W34"/>
  <sheetViews>
    <sheetView topLeftCell="E11" zoomScale="90" zoomScaleNormal="90" workbookViewId="0">
      <selection activeCell="B14" sqref="B14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2" width="11.42578125" style="1"/>
    <col min="13" max="13" width="64.7109375" style="1" customWidth="1"/>
    <col min="14" max="17" width="10.7109375" style="1" customWidth="1"/>
    <col min="18" max="18" width="1.7109375" style="1" customWidth="1"/>
    <col min="19" max="21" width="10.7109375" style="1" customWidth="1"/>
    <col min="22" max="22" width="12.7109375" style="1" customWidth="1"/>
    <col min="23" max="23" width="16.5703125" style="1" customWidth="1"/>
    <col min="24" max="16384" width="11.42578125" style="1"/>
  </cols>
  <sheetData>
    <row r="9" spans="1:23" ht="15.75" customHeight="1" x14ac:dyDescent="0.25">
      <c r="A9" s="54" t="s">
        <v>32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4" t="s">
        <v>32</v>
      </c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16.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54" t="s">
        <v>33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36.7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M11" s="55" t="s">
        <v>1</v>
      </c>
      <c r="N11" s="56">
        <v>2018</v>
      </c>
      <c r="O11" s="56"/>
      <c r="P11" s="56">
        <v>2020</v>
      </c>
      <c r="Q11" s="56"/>
      <c r="R11" s="2"/>
      <c r="S11" s="3" t="s">
        <v>2</v>
      </c>
      <c r="T11" s="3" t="s">
        <v>3</v>
      </c>
      <c r="U11" s="52" t="s">
        <v>4</v>
      </c>
      <c r="V11" s="50" t="s">
        <v>5</v>
      </c>
      <c r="W11" s="52" t="s">
        <v>6</v>
      </c>
    </row>
    <row r="12" spans="1:23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M12" s="55"/>
      <c r="N12" s="5" t="s">
        <v>7</v>
      </c>
      <c r="O12" s="6" t="s">
        <v>8</v>
      </c>
      <c r="P12" s="5" t="s">
        <v>7</v>
      </c>
      <c r="Q12" s="6" t="s">
        <v>8</v>
      </c>
      <c r="R12" s="7"/>
      <c r="S12" s="53" t="s">
        <v>34</v>
      </c>
      <c r="T12" s="53"/>
      <c r="U12" s="53"/>
      <c r="V12" s="51"/>
      <c r="W12" s="53"/>
    </row>
    <row r="13" spans="1:23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M13" s="8" t="s">
        <v>10</v>
      </c>
      <c r="N13" s="9"/>
      <c r="O13" s="10"/>
      <c r="P13" s="9"/>
      <c r="Q13" s="10"/>
      <c r="R13" s="11"/>
      <c r="S13" s="9"/>
      <c r="T13" s="10"/>
      <c r="U13" s="11"/>
      <c r="V13" s="9"/>
      <c r="W13" s="12"/>
    </row>
    <row r="14" spans="1:23" ht="15" customHeight="1" x14ac:dyDescent="0.25">
      <c r="A14" s="13" t="s">
        <v>11</v>
      </c>
      <c r="B14" s="14">
        <v>50.935160000000003</v>
      </c>
      <c r="C14" s="14">
        <v>2.1325699999999999</v>
      </c>
      <c r="D14" s="14">
        <v>44.63785</v>
      </c>
      <c r="E14" s="14">
        <v>1.51187</v>
      </c>
      <c r="F14" s="4"/>
      <c r="G14" s="14">
        <f>D14-B14</f>
        <v>-6.2973100000000031</v>
      </c>
      <c r="H14" s="15">
        <f>SQRT(E14*E14+C14*C14)</f>
        <v>2.614116619778085</v>
      </c>
      <c r="I14" s="15">
        <f>G14/H14</f>
        <v>-2.4089629178573482</v>
      </c>
      <c r="J14" s="15">
        <f>IF(I14&gt;0,(1-NORMSDIST(I14)),(NORMSDIST(I14)))</f>
        <v>7.9989616846157519E-3</v>
      </c>
      <c r="K14" s="16" t="str">
        <f>IF(J14&lt;0.025,"Significativa","No significativa")</f>
        <v>Significativa</v>
      </c>
      <c r="M14" s="13" t="s">
        <v>11</v>
      </c>
      <c r="N14" s="14">
        <v>43.39911</v>
      </c>
      <c r="O14" s="14">
        <v>1.5490200000000001</v>
      </c>
      <c r="P14" s="14">
        <v>44.63785</v>
      </c>
      <c r="Q14" s="14">
        <v>1.51187</v>
      </c>
      <c r="R14" s="4"/>
      <c r="S14" s="14">
        <f>P14-N14</f>
        <v>1.23874</v>
      </c>
      <c r="T14" s="15">
        <f>SQRT(Q14*Q14+O14*O14)</f>
        <v>2.1645354830309436</v>
      </c>
      <c r="U14" s="15">
        <f>S14/T14</f>
        <v>0.57228907066259971</v>
      </c>
      <c r="V14" s="15">
        <f>IF(U14&gt;0,(1-NORMSDIST(U14)),(NORMSDIST(U14)))</f>
        <v>0.28356307642029344</v>
      </c>
      <c r="W14" s="16" t="str">
        <f>IF(V14&lt;0.025,"Significativa","No significativa")</f>
        <v>No significativa</v>
      </c>
    </row>
    <row r="15" spans="1:23" ht="15" customHeight="1" x14ac:dyDescent="0.25">
      <c r="A15" s="13" t="s">
        <v>12</v>
      </c>
      <c r="B15" s="14">
        <v>35.520209999999999</v>
      </c>
      <c r="C15" s="14">
        <v>1.6376000000000002</v>
      </c>
      <c r="D15" s="14">
        <v>35.140129999999999</v>
      </c>
      <c r="E15" s="14">
        <v>1.2274099999999999</v>
      </c>
      <c r="F15" s="4"/>
      <c r="G15" s="14">
        <f t="shared" ref="G15:G19" si="0">D15-B15</f>
        <v>-0.38007999999999953</v>
      </c>
      <c r="H15" s="15">
        <f t="shared" ref="H15:H19" si="1">SQRT(E15*E15+C15*C15)</f>
        <v>2.0465260975858577</v>
      </c>
      <c r="I15" s="15">
        <f t="shared" ref="I15:I19" si="2">G15/H15</f>
        <v>-0.18571959597698415</v>
      </c>
      <c r="J15" s="15">
        <f t="shared" ref="J15:J19" si="3">IF(I15&gt;0,(1-NORMSDIST(I15)),(NORMSDIST(I15)))</f>
        <v>0.42633233014936189</v>
      </c>
      <c r="K15" s="16" t="str">
        <f t="shared" ref="K15:K19" si="4">IF(J15&lt;0.025,"Significativa","No significativa")</f>
        <v>No significativa</v>
      </c>
      <c r="M15" s="13" t="s">
        <v>12</v>
      </c>
      <c r="N15" s="14">
        <v>36.069040000000001</v>
      </c>
      <c r="O15" s="14">
        <v>1.31148</v>
      </c>
      <c r="P15" s="14">
        <v>35.140129999999999</v>
      </c>
      <c r="Q15" s="14">
        <v>1.2274099999999999</v>
      </c>
      <c r="R15" s="4"/>
      <c r="S15" s="14">
        <f t="shared" ref="S15:S19" si="5">P15-N15</f>
        <v>-0.9289100000000019</v>
      </c>
      <c r="T15" s="15">
        <f t="shared" ref="T15:T19" si="6">SQRT(Q15*Q15+O15*O15)</f>
        <v>1.7962502883785432</v>
      </c>
      <c r="U15" s="15">
        <f t="shared" ref="U15:U19" si="7">S15/T15</f>
        <v>-0.51713839992672705</v>
      </c>
      <c r="V15" s="15">
        <f t="shared" ref="V15:V19" si="8">IF(U15&gt;0,(1-NORMSDIST(U15)),(NORMSDIST(U15)))</f>
        <v>0.30252977471976839</v>
      </c>
      <c r="W15" s="16" t="str">
        <f t="shared" ref="W15:W19" si="9">IF(V15&lt;0.025,"Significativa","No significativa")</f>
        <v>No significativa</v>
      </c>
    </row>
    <row r="16" spans="1:23" ht="15" customHeight="1" x14ac:dyDescent="0.25">
      <c r="A16" s="13" t="s">
        <v>13</v>
      </c>
      <c r="B16" s="31">
        <v>15.414949999999999</v>
      </c>
      <c r="C16" s="14">
        <v>1.6424999999999998</v>
      </c>
      <c r="D16" s="14">
        <v>9.4977300000000007</v>
      </c>
      <c r="E16" s="14">
        <v>1.028</v>
      </c>
      <c r="F16" s="4"/>
      <c r="G16" s="14">
        <f t="shared" si="0"/>
        <v>-5.9172199999999986</v>
      </c>
      <c r="H16" s="15">
        <f t="shared" si="1"/>
        <v>1.9376765080890048</v>
      </c>
      <c r="I16" s="15">
        <f t="shared" si="2"/>
        <v>-3.0537708308368461</v>
      </c>
      <c r="J16" s="15">
        <f t="shared" si="3"/>
        <v>1.1299231923222075E-3</v>
      </c>
      <c r="K16" s="16" t="str">
        <f t="shared" si="4"/>
        <v>Significativa</v>
      </c>
      <c r="M16" s="13" t="s">
        <v>13</v>
      </c>
      <c r="N16" s="31">
        <v>7.3300699999999992</v>
      </c>
      <c r="O16" s="14">
        <v>1.07803</v>
      </c>
      <c r="P16" s="14">
        <v>9.4977300000000007</v>
      </c>
      <c r="Q16" s="14">
        <v>1.028</v>
      </c>
      <c r="R16" s="4"/>
      <c r="S16" s="14">
        <f t="shared" si="5"/>
        <v>2.1676600000000015</v>
      </c>
      <c r="T16" s="15">
        <f t="shared" si="6"/>
        <v>1.4896082306767777</v>
      </c>
      <c r="U16" s="15">
        <f t="shared" si="7"/>
        <v>1.4551879852430478</v>
      </c>
      <c r="V16" s="15">
        <f t="shared" si="8"/>
        <v>7.2808613085755258E-2</v>
      </c>
      <c r="W16" s="16" t="str">
        <f t="shared" si="9"/>
        <v>No significativa</v>
      </c>
    </row>
    <row r="17" spans="1:23" ht="15" customHeight="1" x14ac:dyDescent="0.25">
      <c r="A17" s="13" t="s">
        <v>14</v>
      </c>
      <c r="B17" s="14">
        <v>25.356529999999999</v>
      </c>
      <c r="C17" s="14">
        <v>1.6160399999999999</v>
      </c>
      <c r="D17" s="14">
        <v>25.589840000000002</v>
      </c>
      <c r="E17" s="14">
        <v>1.1742999999999999</v>
      </c>
      <c r="F17" s="4"/>
      <c r="G17" s="14">
        <f t="shared" si="0"/>
        <v>0.23331000000000301</v>
      </c>
      <c r="H17" s="15">
        <f t="shared" si="1"/>
        <v>1.9976400505596597</v>
      </c>
      <c r="I17" s="15">
        <f t="shared" si="2"/>
        <v>0.11679281256632734</v>
      </c>
      <c r="J17" s="15">
        <f t="shared" si="3"/>
        <v>0.45351211975649086</v>
      </c>
      <c r="K17" s="16" t="str">
        <f t="shared" si="4"/>
        <v>No significativa</v>
      </c>
      <c r="M17" s="13" t="s">
        <v>14</v>
      </c>
      <c r="N17" s="14">
        <v>27.713250000000002</v>
      </c>
      <c r="O17" s="14">
        <v>1.4047000000000001</v>
      </c>
      <c r="P17" s="14">
        <v>25.589840000000002</v>
      </c>
      <c r="Q17" s="14">
        <v>1.1742999999999999</v>
      </c>
      <c r="R17" s="4"/>
      <c r="S17" s="14">
        <f t="shared" si="5"/>
        <v>-2.1234099999999998</v>
      </c>
      <c r="T17" s="15">
        <f t="shared" si="6"/>
        <v>1.830891198296611</v>
      </c>
      <c r="U17" s="15">
        <f t="shared" si="7"/>
        <v>-1.1597685334745924</v>
      </c>
      <c r="V17" s="15">
        <f t="shared" si="8"/>
        <v>0.12307152933929122</v>
      </c>
      <c r="W17" s="16" t="str">
        <f t="shared" si="9"/>
        <v>No significativa</v>
      </c>
    </row>
    <row r="18" spans="1:23" ht="15" customHeight="1" x14ac:dyDescent="0.25">
      <c r="A18" s="13" t="s">
        <v>15</v>
      </c>
      <c r="B18" s="14">
        <v>6.3986499999999999</v>
      </c>
      <c r="C18" s="14">
        <v>0.64158000000000004</v>
      </c>
      <c r="D18" s="14">
        <v>8.4100800000000007</v>
      </c>
      <c r="E18" s="14">
        <v>0.61197000000000001</v>
      </c>
      <c r="F18" s="4"/>
      <c r="G18" s="14">
        <f t="shared" si="0"/>
        <v>2.0114300000000007</v>
      </c>
      <c r="H18" s="15">
        <f t="shared" si="1"/>
        <v>0.88664095173863933</v>
      </c>
      <c r="I18" s="15">
        <f t="shared" si="2"/>
        <v>2.2685958685482897</v>
      </c>
      <c r="J18" s="15">
        <f t="shared" si="3"/>
        <v>1.1646456545165829E-2</v>
      </c>
      <c r="K18" s="16" t="str">
        <f t="shared" si="4"/>
        <v>Significativa</v>
      </c>
      <c r="M18" s="13" t="s">
        <v>15</v>
      </c>
      <c r="N18" s="14">
        <v>7.3753099999999998</v>
      </c>
      <c r="O18" s="14">
        <v>0.60658000000000001</v>
      </c>
      <c r="P18" s="14">
        <v>8.4100800000000007</v>
      </c>
      <c r="Q18" s="14">
        <v>0.61197000000000001</v>
      </c>
      <c r="R18" s="4"/>
      <c r="S18" s="14">
        <f t="shared" si="5"/>
        <v>1.0347700000000009</v>
      </c>
      <c r="T18" s="15">
        <f t="shared" si="6"/>
        <v>0.86165339742845559</v>
      </c>
      <c r="U18" s="15">
        <f t="shared" si="7"/>
        <v>1.2009121104706366</v>
      </c>
      <c r="V18" s="15">
        <f t="shared" si="8"/>
        <v>0.11489264800822008</v>
      </c>
      <c r="W18" s="16" t="str">
        <f t="shared" si="9"/>
        <v>No significativa</v>
      </c>
    </row>
    <row r="19" spans="1:23" ht="15" customHeight="1" x14ac:dyDescent="0.25">
      <c r="A19" s="13" t="s">
        <v>16</v>
      </c>
      <c r="B19" s="14">
        <v>17.309670000000001</v>
      </c>
      <c r="C19" s="14">
        <v>1.0931200000000001</v>
      </c>
      <c r="D19" s="14">
        <v>21.362220000000001</v>
      </c>
      <c r="E19" s="14">
        <v>0.94550000000000001</v>
      </c>
      <c r="F19" s="4"/>
      <c r="G19" s="14">
        <f t="shared" si="0"/>
        <v>4.0525500000000001</v>
      </c>
      <c r="H19" s="15">
        <f t="shared" si="1"/>
        <v>1.4452963655942681</v>
      </c>
      <c r="I19" s="15">
        <f t="shared" si="2"/>
        <v>2.8039577878089368</v>
      </c>
      <c r="J19" s="15">
        <f t="shared" si="3"/>
        <v>2.5239756779477096E-3</v>
      </c>
      <c r="K19" s="16" t="str">
        <f t="shared" si="4"/>
        <v>Significativa</v>
      </c>
      <c r="M19" s="13" t="s">
        <v>16</v>
      </c>
      <c r="N19" s="14">
        <v>21.512329999999999</v>
      </c>
      <c r="O19" s="14">
        <v>1.0634599999999998</v>
      </c>
      <c r="P19" s="14">
        <v>21.362220000000001</v>
      </c>
      <c r="Q19" s="14">
        <v>0.94550000000000001</v>
      </c>
      <c r="R19" s="4"/>
      <c r="S19" s="14">
        <f t="shared" si="5"/>
        <v>-0.15010999999999797</v>
      </c>
      <c r="T19" s="15">
        <f t="shared" si="6"/>
        <v>1.4229959316877894</v>
      </c>
      <c r="U19" s="15">
        <f t="shared" si="7"/>
        <v>-0.10548870636752647</v>
      </c>
      <c r="V19" s="15">
        <f t="shared" si="8"/>
        <v>0.45799401550118263</v>
      </c>
      <c r="W19" s="16" t="str">
        <f t="shared" si="9"/>
        <v>No significativa</v>
      </c>
    </row>
    <row r="20" spans="1:23" ht="15" customHeight="1" x14ac:dyDescent="0.25">
      <c r="A20" s="17" t="s">
        <v>17</v>
      </c>
      <c r="D20" s="14"/>
      <c r="E20" s="14"/>
      <c r="F20" s="4"/>
      <c r="G20" s="14"/>
      <c r="H20" s="15"/>
      <c r="I20" s="15"/>
      <c r="J20" s="15"/>
      <c r="K20" s="16"/>
      <c r="M20" s="17" t="s">
        <v>17</v>
      </c>
      <c r="P20" s="14"/>
      <c r="Q20" s="14"/>
      <c r="R20" s="4"/>
      <c r="S20" s="14"/>
      <c r="T20" s="15"/>
      <c r="U20" s="15"/>
      <c r="V20" s="15"/>
      <c r="W20" s="16"/>
    </row>
    <row r="21" spans="1:23" x14ac:dyDescent="0.25">
      <c r="A21" s="18" t="s">
        <v>18</v>
      </c>
      <c r="B21" s="14">
        <v>76.291679999999999</v>
      </c>
      <c r="C21" s="14">
        <v>1.3610499999999999</v>
      </c>
      <c r="D21" s="14">
        <v>70.227689999999996</v>
      </c>
      <c r="E21" s="14">
        <v>1.1153500000000001</v>
      </c>
      <c r="F21" s="4"/>
      <c r="G21" s="14">
        <f t="shared" ref="G21:G22" si="10">D21-B21</f>
        <v>-6.063990000000004</v>
      </c>
      <c r="H21" s="15">
        <f t="shared" ref="H21:H22" si="11">SQRT(E21*E21+C21*C21)</f>
        <v>1.7596768808505725</v>
      </c>
      <c r="I21" s="15">
        <f t="shared" ref="I21:I22" si="12">G21/H21</f>
        <v>-3.446081531212061</v>
      </c>
      <c r="J21" s="15">
        <f>IF(I21&gt;0,(1-NORMSDIST(I21)),(NORMSDIST(I21)))</f>
        <v>2.8438936375864757E-4</v>
      </c>
      <c r="K21" s="16" t="str">
        <f t="shared" ref="K21:K22" si="13">IF(J21&lt;0.025,"Significativa","No significativa")</f>
        <v>Significativa</v>
      </c>
      <c r="M21" s="18" t="s">
        <v>18</v>
      </c>
      <c r="N21" s="14">
        <v>71.112359999999995</v>
      </c>
      <c r="O21" s="14">
        <v>1.05955</v>
      </c>
      <c r="P21" s="14">
        <v>70.227689999999996</v>
      </c>
      <c r="Q21" s="14">
        <v>1.1153500000000001</v>
      </c>
      <c r="R21" s="4"/>
      <c r="S21" s="14">
        <f t="shared" ref="S21:S22" si="14">P21-N21</f>
        <v>-0.88466999999999985</v>
      </c>
      <c r="T21" s="15">
        <f t="shared" ref="T21:T22" si="15">SQRT(Q21*Q21+O21*O21)</f>
        <v>1.5383926108116874</v>
      </c>
      <c r="U21" s="15">
        <f t="shared" ref="U21:U22" si="16">S21/T21</f>
        <v>-0.57506126445396133</v>
      </c>
      <c r="V21" s="15">
        <f>IF(U21&gt;0,(1-NORMSDIST(U21)),(NORMSDIST(U21)))</f>
        <v>0.28262493198325606</v>
      </c>
      <c r="W21" s="16" t="str">
        <f t="shared" ref="W21:W22" si="17">IF(V21&lt;0.025,"Significativa","No significativa")</f>
        <v>No significativa</v>
      </c>
    </row>
    <row r="22" spans="1:23" x14ac:dyDescent="0.25">
      <c r="A22" s="18" t="s">
        <v>19</v>
      </c>
      <c r="B22" s="14">
        <v>35.856560000000002</v>
      </c>
      <c r="C22" s="14">
        <v>2.2343700000000002</v>
      </c>
      <c r="D22" s="14">
        <v>19.81053</v>
      </c>
      <c r="E22" s="14">
        <v>1.1958299999999999</v>
      </c>
      <c r="F22" s="4"/>
      <c r="G22" s="14">
        <f t="shared" si="10"/>
        <v>-16.046030000000002</v>
      </c>
      <c r="H22" s="15">
        <f t="shared" si="11"/>
        <v>2.5342491364899389</v>
      </c>
      <c r="I22" s="15">
        <f t="shared" si="12"/>
        <v>-6.331670303822043</v>
      </c>
      <c r="J22" s="15">
        <f>IF(I22&gt;0,(1-NORMSDIST(I22)),(NORMSDIST(I22)))</f>
        <v>1.2126064072663971E-10</v>
      </c>
      <c r="K22" s="16" t="str">
        <f t="shared" si="13"/>
        <v>Significativa</v>
      </c>
      <c r="M22" s="18" t="s">
        <v>19</v>
      </c>
      <c r="N22" s="14">
        <v>15.96311</v>
      </c>
      <c r="O22" s="14">
        <v>1.1258600000000001</v>
      </c>
      <c r="P22" s="14">
        <v>19.81053</v>
      </c>
      <c r="Q22" s="14">
        <v>1.1958299999999999</v>
      </c>
      <c r="R22" s="4"/>
      <c r="S22" s="14">
        <f t="shared" si="14"/>
        <v>3.8474199999999996</v>
      </c>
      <c r="T22" s="15">
        <f t="shared" si="15"/>
        <v>1.6424281197361423</v>
      </c>
      <c r="U22" s="15">
        <f t="shared" si="16"/>
        <v>2.3425195622065282</v>
      </c>
      <c r="V22" s="15">
        <f>IF(U22&gt;0,(1-NORMSDIST(U22)),(NORMSDIST(U22)))</f>
        <v>9.5770149194206455E-3</v>
      </c>
      <c r="W22" s="16" t="str">
        <f t="shared" si="17"/>
        <v>Significativa</v>
      </c>
    </row>
    <row r="23" spans="1:23" x14ac:dyDescent="0.25">
      <c r="A23" s="19" t="s">
        <v>20</v>
      </c>
      <c r="D23" s="14"/>
      <c r="E23" s="14"/>
      <c r="F23" s="4"/>
      <c r="G23" s="14"/>
      <c r="H23" s="15"/>
      <c r="I23" s="15"/>
      <c r="J23" s="15"/>
      <c r="K23" s="16"/>
      <c r="M23" s="19" t="s">
        <v>20</v>
      </c>
      <c r="P23" s="14"/>
      <c r="Q23" s="14"/>
      <c r="R23" s="4"/>
      <c r="S23" s="14"/>
      <c r="T23" s="15"/>
      <c r="U23" s="15"/>
      <c r="V23" s="15"/>
      <c r="W23" s="16"/>
    </row>
    <row r="24" spans="1:23" ht="25.5" customHeight="1" x14ac:dyDescent="0.25">
      <c r="A24" s="20" t="s">
        <v>21</v>
      </c>
      <c r="B24" s="14">
        <v>22.99464</v>
      </c>
      <c r="C24" s="14">
        <v>0.85403000000000007</v>
      </c>
      <c r="D24" s="14">
        <v>15.863550000000002</v>
      </c>
      <c r="E24" s="14">
        <v>0.64406000000000008</v>
      </c>
      <c r="F24" s="4"/>
      <c r="G24" s="14">
        <f t="shared" ref="G24:G29" si="18">D24-B24</f>
        <v>-7.1310899999999986</v>
      </c>
      <c r="H24" s="15">
        <f t="shared" ref="H24:H29" si="19">SQRT(E24*E24+C24*C24)</f>
        <v>1.0696637436596608</v>
      </c>
      <c r="I24" s="15">
        <f t="shared" ref="I24:I29" si="20">G24/H24</f>
        <v>-6.6666651480607033</v>
      </c>
      <c r="J24" s="15">
        <f t="shared" ref="J24:J29" si="21">IF(I24&gt;0,(1-NORMSDIST(I24)),(NORMSDIST(I24)))</f>
        <v>1.3084060008199582E-11</v>
      </c>
      <c r="K24" s="16" t="str">
        <f t="shared" ref="K24:K29" si="22">IF(J24&lt;0.025,"Significativa","No significativa")</f>
        <v>Significativa</v>
      </c>
      <c r="M24" s="20" t="s">
        <v>21</v>
      </c>
      <c r="N24" s="14">
        <v>16.93187</v>
      </c>
      <c r="O24" s="14">
        <v>0.57489999999999997</v>
      </c>
      <c r="P24" s="14">
        <v>15.863550000000002</v>
      </c>
      <c r="Q24" s="14">
        <v>0.64406000000000008</v>
      </c>
      <c r="R24" s="4"/>
      <c r="S24" s="14">
        <f t="shared" ref="S24:S29" si="23">P24-N24</f>
        <v>-1.0683199999999982</v>
      </c>
      <c r="T24" s="15">
        <f t="shared" ref="T24:T29" si="24">SQRT(Q24*Q24+O24*O24)</f>
        <v>0.86332108372262062</v>
      </c>
      <c r="U24" s="15">
        <f t="shared" ref="U24:U29" si="25">S24/T24</f>
        <v>-1.2374538513451183</v>
      </c>
      <c r="V24" s="15">
        <f t="shared" ref="V24:V29" si="26">IF(U24&gt;0,(1-NORMSDIST(U24)),(NORMSDIST(U24)))</f>
        <v>0.1079593184901161</v>
      </c>
      <c r="W24" s="16" t="str">
        <f t="shared" ref="W24:W29" si="27">IF(V24&lt;0.025,"Significativa","No significativa")</f>
        <v>No significativa</v>
      </c>
    </row>
    <row r="25" spans="1:23" x14ac:dyDescent="0.25">
      <c r="A25" s="18" t="s">
        <v>22</v>
      </c>
      <c r="B25" s="14">
        <v>34.359740000000002</v>
      </c>
      <c r="C25" s="14">
        <v>2.27203</v>
      </c>
      <c r="D25" s="14">
        <v>19.76521</v>
      </c>
      <c r="E25" s="14">
        <v>0.74907000000000001</v>
      </c>
      <c r="F25" s="4"/>
      <c r="G25" s="14">
        <f t="shared" si="18"/>
        <v>-14.594530000000002</v>
      </c>
      <c r="H25" s="15">
        <f t="shared" si="19"/>
        <v>2.3923265215684917</v>
      </c>
      <c r="I25" s="15">
        <f t="shared" si="20"/>
        <v>-6.1005593795078301</v>
      </c>
      <c r="J25" s="15">
        <f t="shared" si="21"/>
        <v>5.2848953279897982E-10</v>
      </c>
      <c r="K25" s="16" t="str">
        <f t="shared" si="22"/>
        <v>Significativa</v>
      </c>
      <c r="M25" s="18" t="s">
        <v>22</v>
      </c>
      <c r="N25" s="14">
        <v>8.9569899999999993</v>
      </c>
      <c r="O25" s="14">
        <v>0.56724999999999992</v>
      </c>
      <c r="P25" s="14">
        <v>19.76521</v>
      </c>
      <c r="Q25" s="14">
        <v>0.74907000000000001</v>
      </c>
      <c r="R25" s="4"/>
      <c r="S25" s="14">
        <f t="shared" si="23"/>
        <v>10.80822</v>
      </c>
      <c r="T25" s="15">
        <f t="shared" si="24"/>
        <v>0.93961610639664961</v>
      </c>
      <c r="U25" s="15">
        <f t="shared" si="25"/>
        <v>11.502804098844829</v>
      </c>
      <c r="V25" s="15">
        <f t="shared" si="26"/>
        <v>0</v>
      </c>
      <c r="W25" s="16" t="str">
        <f t="shared" si="27"/>
        <v>Significativa</v>
      </c>
    </row>
    <row r="26" spans="1:23" x14ac:dyDescent="0.25">
      <c r="A26" s="18" t="s">
        <v>23</v>
      </c>
      <c r="B26" s="14">
        <v>64.405990000000003</v>
      </c>
      <c r="C26" s="14">
        <v>1.7039</v>
      </c>
      <c r="D26" s="14">
        <v>54.168870000000005</v>
      </c>
      <c r="E26" s="14">
        <v>1.27003</v>
      </c>
      <c r="F26" s="4"/>
      <c r="G26" s="14">
        <f t="shared" si="18"/>
        <v>-10.237119999999997</v>
      </c>
      <c r="H26" s="15">
        <f t="shared" si="19"/>
        <v>2.1251473856888139</v>
      </c>
      <c r="I26" s="15">
        <f t="shared" si="20"/>
        <v>-4.8171341286439242</v>
      </c>
      <c r="J26" s="15">
        <f t="shared" si="21"/>
        <v>7.2817398173386821E-7</v>
      </c>
      <c r="K26" s="16" t="str">
        <f t="shared" si="22"/>
        <v>Significativa</v>
      </c>
      <c r="M26" s="18" t="s">
        <v>23</v>
      </c>
      <c r="N26" s="14">
        <v>55.518060000000006</v>
      </c>
      <c r="O26" s="14">
        <v>1.3223499999999999</v>
      </c>
      <c r="P26" s="14">
        <v>54.168870000000005</v>
      </c>
      <c r="Q26" s="14">
        <v>1.27003</v>
      </c>
      <c r="R26" s="4"/>
      <c r="S26" s="14">
        <f t="shared" si="23"/>
        <v>-1.3491900000000001</v>
      </c>
      <c r="T26" s="15">
        <f t="shared" si="24"/>
        <v>1.8334627684793601</v>
      </c>
      <c r="U26" s="15">
        <f t="shared" si="25"/>
        <v>-0.735869865041761</v>
      </c>
      <c r="V26" s="15">
        <f t="shared" si="26"/>
        <v>0.23090494906427342</v>
      </c>
      <c r="W26" s="16" t="str">
        <f t="shared" si="27"/>
        <v>No significativa</v>
      </c>
    </row>
    <row r="27" spans="1:23" x14ac:dyDescent="0.25">
      <c r="A27" s="18" t="s">
        <v>24</v>
      </c>
      <c r="B27" s="14">
        <v>22.56137</v>
      </c>
      <c r="C27" s="14">
        <v>2.5324</v>
      </c>
      <c r="D27" s="14">
        <v>9.3254800000000007</v>
      </c>
      <c r="E27" s="14">
        <v>1.0649900000000001</v>
      </c>
      <c r="F27" s="4"/>
      <c r="G27" s="14">
        <f t="shared" si="18"/>
        <v>-13.235889999999999</v>
      </c>
      <c r="H27" s="15">
        <f t="shared" si="19"/>
        <v>2.7472265032392214</v>
      </c>
      <c r="I27" s="15">
        <f t="shared" si="20"/>
        <v>-4.8179099846313083</v>
      </c>
      <c r="J27" s="15">
        <f t="shared" si="21"/>
        <v>7.2534893519218608E-7</v>
      </c>
      <c r="K27" s="16" t="str">
        <f t="shared" si="22"/>
        <v>Significativa</v>
      </c>
      <c r="M27" s="18" t="s">
        <v>24</v>
      </c>
      <c r="N27" s="14">
        <v>8.5738900000000005</v>
      </c>
      <c r="O27" s="14">
        <v>0.90638000000000007</v>
      </c>
      <c r="P27" s="14">
        <v>9.3254800000000007</v>
      </c>
      <c r="Q27" s="14">
        <v>1.0649900000000001</v>
      </c>
      <c r="R27" s="4"/>
      <c r="S27" s="14">
        <f t="shared" si="23"/>
        <v>0.7515900000000002</v>
      </c>
      <c r="T27" s="15">
        <f t="shared" si="24"/>
        <v>1.3984735980704106</v>
      </c>
      <c r="U27" s="15">
        <f t="shared" si="25"/>
        <v>0.53743595948971146</v>
      </c>
      <c r="V27" s="15">
        <f t="shared" si="26"/>
        <v>0.29548325492622685</v>
      </c>
      <c r="W27" s="16" t="str">
        <f t="shared" si="27"/>
        <v>No significativa</v>
      </c>
    </row>
    <row r="28" spans="1:23" x14ac:dyDescent="0.25">
      <c r="A28" s="18" t="s">
        <v>25</v>
      </c>
      <c r="B28" s="14">
        <v>29.139209999999999</v>
      </c>
      <c r="C28" s="14">
        <v>2.7170900000000002</v>
      </c>
      <c r="D28" s="14">
        <v>25.009619999999998</v>
      </c>
      <c r="E28" s="14">
        <v>1.7221299999999999</v>
      </c>
      <c r="F28" s="4"/>
      <c r="G28" s="14">
        <f t="shared" si="18"/>
        <v>-4.1295900000000003</v>
      </c>
      <c r="H28" s="15">
        <f t="shared" si="19"/>
        <v>3.21687889187641</v>
      </c>
      <c r="I28" s="15">
        <f t="shared" si="20"/>
        <v>-1.2837256666480237</v>
      </c>
      <c r="J28" s="15">
        <f t="shared" si="21"/>
        <v>9.9618980232714038E-2</v>
      </c>
      <c r="K28" s="16" t="str">
        <f t="shared" si="22"/>
        <v>No significativa</v>
      </c>
      <c r="M28" s="18" t="s">
        <v>25</v>
      </c>
      <c r="N28" s="14">
        <v>26.40728</v>
      </c>
      <c r="O28" s="14">
        <v>1.5313300000000001</v>
      </c>
      <c r="P28" s="14">
        <v>25.009619999999998</v>
      </c>
      <c r="Q28" s="14">
        <v>1.7221299999999999</v>
      </c>
      <c r="R28" s="4"/>
      <c r="S28" s="14">
        <f t="shared" si="23"/>
        <v>-1.3976600000000019</v>
      </c>
      <c r="T28" s="15">
        <f t="shared" si="24"/>
        <v>2.3044963236681459</v>
      </c>
      <c r="U28" s="15">
        <f t="shared" si="25"/>
        <v>-0.6064926143059749</v>
      </c>
      <c r="V28" s="15">
        <f t="shared" si="26"/>
        <v>0.27209384264417175</v>
      </c>
      <c r="W28" s="16" t="str">
        <f t="shared" si="27"/>
        <v>No significativa</v>
      </c>
    </row>
    <row r="29" spans="1:23" x14ac:dyDescent="0.25">
      <c r="A29" s="18" t="s">
        <v>26</v>
      </c>
      <c r="B29" s="14">
        <v>23.361730000000001</v>
      </c>
      <c r="C29" s="14">
        <v>1.67513</v>
      </c>
      <c r="D29" s="14">
        <v>17.775460000000002</v>
      </c>
      <c r="E29" s="14">
        <v>0.96115000000000006</v>
      </c>
      <c r="F29" s="4"/>
      <c r="G29" s="14">
        <f t="shared" si="18"/>
        <v>-5.586269999999999</v>
      </c>
      <c r="H29" s="15">
        <f t="shared" si="19"/>
        <v>1.9312870939868054</v>
      </c>
      <c r="I29" s="15">
        <f t="shared" si="20"/>
        <v>-2.8925114331231399</v>
      </c>
      <c r="J29" s="15">
        <f t="shared" si="21"/>
        <v>1.9108763612961962E-3</v>
      </c>
      <c r="K29" s="16" t="str">
        <f t="shared" si="22"/>
        <v>Significativa</v>
      </c>
      <c r="M29" s="18" t="s">
        <v>26</v>
      </c>
      <c r="N29" s="14">
        <v>16.951749999999997</v>
      </c>
      <c r="O29" s="14">
        <v>1.1290100000000001</v>
      </c>
      <c r="P29" s="14">
        <v>17.775460000000002</v>
      </c>
      <c r="Q29" s="14">
        <v>0.96115000000000006</v>
      </c>
      <c r="R29" s="4"/>
      <c r="S29" s="14">
        <f t="shared" si="23"/>
        <v>0.82371000000000549</v>
      </c>
      <c r="T29" s="15">
        <f t="shared" si="24"/>
        <v>1.4827248236270951</v>
      </c>
      <c r="U29" s="15">
        <f t="shared" si="25"/>
        <v>0.55553801141941916</v>
      </c>
      <c r="V29" s="15">
        <f t="shared" si="26"/>
        <v>0.28926335898815614</v>
      </c>
      <c r="W29" s="16" t="str">
        <f t="shared" si="27"/>
        <v>No significativa</v>
      </c>
    </row>
    <row r="30" spans="1:23" x14ac:dyDescent="0.25">
      <c r="A30" s="8" t="s">
        <v>27</v>
      </c>
      <c r="D30" s="14"/>
      <c r="E30" s="14"/>
      <c r="F30" s="4"/>
      <c r="G30" s="14"/>
      <c r="H30" s="15"/>
      <c r="I30" s="15"/>
      <c r="J30" s="15"/>
      <c r="K30" s="16"/>
      <c r="M30" s="8" t="s">
        <v>27</v>
      </c>
      <c r="P30" s="14"/>
      <c r="Q30" s="14"/>
      <c r="R30" s="4"/>
      <c r="S30" s="14"/>
      <c r="T30" s="15"/>
      <c r="U30" s="15"/>
      <c r="V30" s="15"/>
      <c r="W30" s="16"/>
    </row>
    <row r="31" spans="1:23" x14ac:dyDescent="0.25">
      <c r="A31" s="21" t="s">
        <v>28</v>
      </c>
      <c r="B31" s="14">
        <v>22.179280000000002</v>
      </c>
      <c r="C31" s="14">
        <v>1.7673100000000002</v>
      </c>
      <c r="D31" s="14">
        <v>22.95701</v>
      </c>
      <c r="E31" s="14">
        <v>1.3186500000000001</v>
      </c>
      <c r="F31" s="22"/>
      <c r="G31" s="14">
        <f t="shared" ref="G31:G32" si="28">D31-B31</f>
        <v>0.77772999999999826</v>
      </c>
      <c r="H31" s="15">
        <f t="shared" ref="H31:H32" si="29">SQRT(E31*E31+C31*C31)</f>
        <v>2.2050447747381461</v>
      </c>
      <c r="I31" s="15">
        <f t="shared" ref="I31:I32" si="30">G31/H31</f>
        <v>0.35270485611447749</v>
      </c>
      <c r="J31" s="15">
        <f>IF(I31&gt;0,(1-NORMSDIST(I31)),(NORMSDIST(I31)))</f>
        <v>0.36215485919920998</v>
      </c>
      <c r="K31" s="16" t="str">
        <f t="shared" ref="K31:K32" si="31">IF(J31&lt;0.025,"Significativa","No significativa")</f>
        <v>No significativa</v>
      </c>
      <c r="M31" s="21" t="s">
        <v>28</v>
      </c>
      <c r="N31" s="14">
        <v>19.026329999999998</v>
      </c>
      <c r="O31" s="14">
        <v>1.5599499999999999</v>
      </c>
      <c r="P31" s="14">
        <v>22.95701</v>
      </c>
      <c r="Q31" s="14">
        <v>1.3186500000000001</v>
      </c>
      <c r="R31" s="22"/>
      <c r="S31" s="14">
        <f t="shared" ref="S31:S32" si="32">P31-N31</f>
        <v>3.9306800000000024</v>
      </c>
      <c r="T31" s="15">
        <f t="shared" ref="T31:T32" si="33">SQRT(Q31*Q31+O31*O31)</f>
        <v>2.0426164165109415</v>
      </c>
      <c r="U31" s="15">
        <f t="shared" ref="U31:U32" si="34">S31/T31</f>
        <v>1.9243358509348136</v>
      </c>
      <c r="V31" s="15">
        <f>IF(U31&gt;0,(1-NORMSDIST(U31)),(NORMSDIST(U31)))</f>
        <v>2.7156249789752063E-2</v>
      </c>
      <c r="W31" s="16" t="str">
        <f t="shared" ref="W31:W32" si="35">IF(V31&lt;0.025,"Significativa","No significativa")</f>
        <v>No significativa</v>
      </c>
    </row>
    <row r="32" spans="1:23" ht="15" customHeight="1" thickBot="1" x14ac:dyDescent="0.3">
      <c r="A32" s="23" t="s">
        <v>29</v>
      </c>
      <c r="B32" s="30">
        <v>57.33381</v>
      </c>
      <c r="C32" s="30">
        <v>2.01213</v>
      </c>
      <c r="D32" s="30">
        <v>53.047940000000004</v>
      </c>
      <c r="E32" s="30">
        <v>1.45339</v>
      </c>
      <c r="F32" s="24"/>
      <c r="G32" s="30">
        <f t="shared" si="28"/>
        <v>-4.2858699999999956</v>
      </c>
      <c r="H32" s="25">
        <f t="shared" si="29"/>
        <v>2.4821381164230165</v>
      </c>
      <c r="I32" s="25">
        <f t="shared" si="30"/>
        <v>-1.7266847366964084</v>
      </c>
      <c r="J32" s="25">
        <f>IF(I32&gt;0,(1-NORMSDIST(I32)),(NORMSDIST(I32)))</f>
        <v>4.2112149165430365E-2</v>
      </c>
      <c r="K32" s="26" t="str">
        <f t="shared" si="31"/>
        <v>No significativa</v>
      </c>
      <c r="M32" s="23" t="s">
        <v>29</v>
      </c>
      <c r="N32" s="30">
        <v>50.774419999999999</v>
      </c>
      <c r="O32" s="30">
        <v>1.62449</v>
      </c>
      <c r="P32" s="30">
        <v>53.047940000000004</v>
      </c>
      <c r="Q32" s="30">
        <v>1.45339</v>
      </c>
      <c r="R32" s="24"/>
      <c r="S32" s="30">
        <f t="shared" si="32"/>
        <v>2.2735200000000049</v>
      </c>
      <c r="T32" s="25">
        <f t="shared" si="33"/>
        <v>2.1797500435141641</v>
      </c>
      <c r="U32" s="25">
        <f t="shared" si="34"/>
        <v>1.0430186739827592</v>
      </c>
      <c r="V32" s="25">
        <f>IF(U32&gt;0,(1-NORMSDIST(U32)),(NORMSDIST(U32)))</f>
        <v>0.14846982204437043</v>
      </c>
      <c r="W32" s="26" t="str">
        <f t="shared" si="35"/>
        <v>No significativa</v>
      </c>
    </row>
    <row r="33" spans="1:23" ht="15" customHeight="1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M33" s="27" t="s">
        <v>30</v>
      </c>
      <c r="N33" s="4"/>
      <c r="O33" s="4"/>
      <c r="P33" s="4"/>
      <c r="Q33" s="4"/>
      <c r="R33" s="4"/>
      <c r="S33" s="4"/>
      <c r="T33" s="4"/>
      <c r="U33" s="4"/>
      <c r="V33" s="4"/>
      <c r="W33" s="28"/>
    </row>
    <row r="34" spans="1:23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M34" s="29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28"/>
    </row>
  </sheetData>
  <mergeCells count="18">
    <mergeCell ref="S12:T12"/>
    <mergeCell ref="V11:V12"/>
    <mergeCell ref="W11:W12"/>
    <mergeCell ref="M9:W9"/>
    <mergeCell ref="M10:W10"/>
    <mergeCell ref="M11:M12"/>
    <mergeCell ref="N11:O11"/>
    <mergeCell ref="P11:Q11"/>
    <mergeCell ref="U11:U12"/>
    <mergeCell ref="I11:I12"/>
    <mergeCell ref="J11:J12"/>
    <mergeCell ref="K11:K12"/>
    <mergeCell ref="G12:H12"/>
    <mergeCell ref="A9:K9"/>
    <mergeCell ref="A10:K10"/>
    <mergeCell ref="A11:A12"/>
    <mergeCell ref="B11:C11"/>
    <mergeCell ref="D11:E1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4ABB7-80C4-4F34-A52B-E05E7B257087}">
  <dimension ref="A4:X34"/>
  <sheetViews>
    <sheetView workbookViewId="0">
      <selection activeCell="E6" sqref="E6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49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48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38">
        <v>32.393549040178819</v>
      </c>
      <c r="C14" s="36">
        <f>0.0152147*100</f>
        <v>1.5214699999999999</v>
      </c>
      <c r="D14" s="37">
        <f>0.282539*100</f>
        <v>28.253899999999998</v>
      </c>
      <c r="E14" s="36">
        <f>0.011895*100</f>
        <v>1.1895</v>
      </c>
      <c r="F14" s="4"/>
      <c r="G14" s="14">
        <f t="shared" ref="G14:G19" si="0">D14-B14</f>
        <v>-4.1396490401788206</v>
      </c>
      <c r="H14" s="15">
        <f t="shared" ref="H14:H19" si="1">SQRT(E14*E14+C14*C14)</f>
        <v>1.9312641484012485</v>
      </c>
      <c r="I14" s="15">
        <f t="shared" ref="I14:I19" si="2">G14/H14</f>
        <v>-2.1434918903277582</v>
      </c>
      <c r="J14" s="15">
        <f t="shared" ref="J14:J19" si="3">IF(I14&gt;0,(1-NORMSDIST(I14)),(NORMSDIST(I14)))</f>
        <v>1.6036810790318694E-2</v>
      </c>
      <c r="K14" s="16" t="str">
        <f t="shared" ref="K14:K19" si="4">IF(J14&lt;0.025,"Significativa","No significativa")</f>
        <v>Significativa</v>
      </c>
      <c r="N14" s="13" t="s">
        <v>11</v>
      </c>
      <c r="O14" s="38">
        <v>30.878422822042111</v>
      </c>
      <c r="P14" s="36">
        <v>1.3712500000000001</v>
      </c>
      <c r="Q14" s="37">
        <f>0.282539*100</f>
        <v>28.253899999999998</v>
      </c>
      <c r="R14" s="36">
        <f>0.011895*100</f>
        <v>1.1895</v>
      </c>
      <c r="S14" s="4"/>
      <c r="T14" s="14">
        <f t="shared" ref="T14:T19" si="5">Q14-O14</f>
        <v>-2.6245228220421133</v>
      </c>
      <c r="U14" s="15">
        <f t="shared" ref="U14:U19" si="6">SQRT(R14*R14+P14*P14)</f>
        <v>1.815278714825908</v>
      </c>
      <c r="V14" s="15">
        <f t="shared" ref="V14:V19" si="7">T14/U14</f>
        <v>-1.4457960645970638</v>
      </c>
      <c r="W14" s="15">
        <f t="shared" ref="W14:W19" si="8">IF(V14&gt;0,(1-NORMSDIST(V14)),(NORMSDIST(V14)))</f>
        <v>7.4117205126069535E-2</v>
      </c>
      <c r="X14" s="16" t="str">
        <f t="shared" ref="X14:X19" si="9">IF(W14&lt;0.025,"Significativa","No significativa")</f>
        <v>No significativa</v>
      </c>
    </row>
    <row r="15" spans="1:24" x14ac:dyDescent="0.25">
      <c r="A15" s="13" t="s">
        <v>12</v>
      </c>
      <c r="B15" s="38">
        <v>27.782036336815736</v>
      </c>
      <c r="C15" s="36">
        <f>0.012692*100</f>
        <v>1.2692000000000001</v>
      </c>
      <c r="D15" s="37">
        <f>0.252518*100</f>
        <v>25.251800000000003</v>
      </c>
      <c r="E15" s="36">
        <f>0.0104133*100</f>
        <v>1.0413300000000001</v>
      </c>
      <c r="F15" s="4"/>
      <c r="G15" s="14">
        <f t="shared" si="0"/>
        <v>-2.530236336815733</v>
      </c>
      <c r="H15" s="15">
        <f t="shared" si="1"/>
        <v>1.6417176398211724</v>
      </c>
      <c r="I15" s="15">
        <f t="shared" si="2"/>
        <v>-1.541212858680951</v>
      </c>
      <c r="J15" s="15">
        <f t="shared" si="3"/>
        <v>6.1632494482776821E-2</v>
      </c>
      <c r="K15" s="16" t="str">
        <f t="shared" si="4"/>
        <v>No significativa</v>
      </c>
      <c r="N15" s="13" t="s">
        <v>12</v>
      </c>
      <c r="O15" s="38">
        <v>28.194364864261118</v>
      </c>
      <c r="P15" s="36">
        <v>1.2320800000000001</v>
      </c>
      <c r="Q15" s="37">
        <f>0.252518*100</f>
        <v>25.251800000000003</v>
      </c>
      <c r="R15" s="36">
        <f>0.0104133*100</f>
        <v>1.0413300000000001</v>
      </c>
      <c r="S15" s="4"/>
      <c r="T15" s="14">
        <f t="shared" si="5"/>
        <v>-2.9425648642611151</v>
      </c>
      <c r="U15" s="15">
        <f t="shared" si="6"/>
        <v>1.613192268547057</v>
      </c>
      <c r="V15" s="15">
        <f t="shared" si="7"/>
        <v>-1.8240633318379185</v>
      </c>
      <c r="W15" s="15">
        <f t="shared" si="8"/>
        <v>3.4071249119664491E-2</v>
      </c>
      <c r="X15" s="16" t="str">
        <f t="shared" si="9"/>
        <v>No significativa</v>
      </c>
    </row>
    <row r="16" spans="1:24" x14ac:dyDescent="0.25">
      <c r="A16" s="13" t="s">
        <v>13</v>
      </c>
      <c r="B16" s="38">
        <v>4.6115127033630854</v>
      </c>
      <c r="C16" s="36">
        <f>0.0071987*100</f>
        <v>0.71987000000000001</v>
      </c>
      <c r="D16" s="37">
        <f>0.0300207*100</f>
        <v>3.0020700000000002</v>
      </c>
      <c r="E16" s="36">
        <f>0.0040463*100</f>
        <v>0.40462999999999999</v>
      </c>
      <c r="F16" s="4"/>
      <c r="G16" s="14">
        <f t="shared" si="0"/>
        <v>-1.6094427033630851</v>
      </c>
      <c r="H16" s="15">
        <f t="shared" si="1"/>
        <v>0.82579552783967047</v>
      </c>
      <c r="I16" s="15">
        <f t="shared" si="2"/>
        <v>-1.9489603044636021</v>
      </c>
      <c r="J16" s="15">
        <f t="shared" si="3"/>
        <v>2.565008271222147E-2</v>
      </c>
      <c r="K16" s="16" t="str">
        <f t="shared" si="4"/>
        <v>No significativa</v>
      </c>
      <c r="N16" s="13" t="s">
        <v>13</v>
      </c>
      <c r="O16" s="39">
        <v>2.6840579577809964</v>
      </c>
      <c r="P16" s="36">
        <v>0.48130999999999996</v>
      </c>
      <c r="Q16" s="37">
        <f>0.0300207*100</f>
        <v>3.0020700000000002</v>
      </c>
      <c r="R16" s="36">
        <f>0.0040463*100</f>
        <v>0.40462999999999999</v>
      </c>
      <c r="S16" s="4"/>
      <c r="T16" s="14">
        <f t="shared" si="5"/>
        <v>0.31801204221900381</v>
      </c>
      <c r="U16" s="15">
        <f t="shared" si="6"/>
        <v>0.62879627304875141</v>
      </c>
      <c r="V16" s="15">
        <f t="shared" si="7"/>
        <v>0.50574733955897333</v>
      </c>
      <c r="W16" s="15">
        <f t="shared" si="8"/>
        <v>0.30651701542657572</v>
      </c>
      <c r="X16" s="16" t="str">
        <f t="shared" si="9"/>
        <v>No significativa</v>
      </c>
    </row>
    <row r="17" spans="1:24" x14ac:dyDescent="0.25">
      <c r="A17" s="13" t="s">
        <v>14</v>
      </c>
      <c r="B17" s="38">
        <v>40.915098561099875</v>
      </c>
      <c r="C17" s="36">
        <f>0.0125729*100</f>
        <v>1.25729</v>
      </c>
      <c r="D17" s="37">
        <f>0.344915*100</f>
        <v>34.491500000000002</v>
      </c>
      <c r="E17" s="36">
        <f>0.0106214*100</f>
        <v>1.0621399999999999</v>
      </c>
      <c r="F17" s="4"/>
      <c r="G17" s="14">
        <f t="shared" si="0"/>
        <v>-6.4235985610998725</v>
      </c>
      <c r="H17" s="15">
        <f t="shared" si="1"/>
        <v>1.6458795592934496</v>
      </c>
      <c r="I17" s="15">
        <f t="shared" si="2"/>
        <v>-3.9028363435398776</v>
      </c>
      <c r="J17" s="15">
        <f t="shared" si="3"/>
        <v>4.7535994541884941E-5</v>
      </c>
      <c r="K17" s="16" t="str">
        <f t="shared" si="4"/>
        <v>Significativa</v>
      </c>
      <c r="N17" s="13" t="s">
        <v>14</v>
      </c>
      <c r="O17" s="38">
        <v>34.538107557332786</v>
      </c>
      <c r="P17" s="36">
        <v>1.0901700000000001</v>
      </c>
      <c r="Q17" s="37">
        <f>0.344915*100</f>
        <v>34.491500000000002</v>
      </c>
      <c r="R17" s="36">
        <f>0.0106214*100</f>
        <v>1.0621399999999999</v>
      </c>
      <c r="S17" s="4"/>
      <c r="T17" s="14">
        <f t="shared" si="5"/>
        <v>-4.6607557332784211E-2</v>
      </c>
      <c r="U17" s="15">
        <f t="shared" si="6"/>
        <v>1.522042052145735</v>
      </c>
      <c r="V17" s="15">
        <f t="shared" si="7"/>
        <v>-3.0621727742067374E-2</v>
      </c>
      <c r="W17" s="15">
        <f t="shared" si="8"/>
        <v>0.48778560702069235</v>
      </c>
      <c r="X17" s="16" t="str">
        <f t="shared" si="9"/>
        <v>No significativa</v>
      </c>
    </row>
    <row r="18" spans="1:24" x14ac:dyDescent="0.25">
      <c r="A18" s="13" t="s">
        <v>15</v>
      </c>
      <c r="B18" s="38">
        <v>3.4765818798094346</v>
      </c>
      <c r="C18" s="36">
        <f>0.0039003*100</f>
        <v>0.39003000000000004</v>
      </c>
      <c r="D18" s="37">
        <f>0.0793196*100</f>
        <v>7.9319600000000001</v>
      </c>
      <c r="E18" s="36">
        <f>0.004698*100</f>
        <v>0.4698</v>
      </c>
      <c r="F18" s="4"/>
      <c r="G18" s="14">
        <f t="shared" si="0"/>
        <v>4.4553781201905656</v>
      </c>
      <c r="H18" s="15">
        <f t="shared" si="1"/>
        <v>0.61060252284116878</v>
      </c>
      <c r="I18" s="15">
        <f t="shared" si="2"/>
        <v>7.2966913065793344</v>
      </c>
      <c r="J18" s="15">
        <f t="shared" si="3"/>
        <v>1.4743761767022079E-13</v>
      </c>
      <c r="K18" s="16" t="str">
        <f t="shared" si="4"/>
        <v>Significativa</v>
      </c>
      <c r="N18" s="13" t="s">
        <v>15</v>
      </c>
      <c r="O18" s="38">
        <v>6.474513270930875</v>
      </c>
      <c r="P18" s="36">
        <v>0.47993000000000002</v>
      </c>
      <c r="Q18" s="37">
        <f>0.0793196*100</f>
        <v>7.9319600000000001</v>
      </c>
      <c r="R18" s="36">
        <f>0.004698*100</f>
        <v>0.4698</v>
      </c>
      <c r="S18" s="4"/>
      <c r="T18" s="14">
        <f t="shared" si="5"/>
        <v>1.4574467290691251</v>
      </c>
      <c r="U18" s="15">
        <f t="shared" si="6"/>
        <v>0.67159872312266944</v>
      </c>
      <c r="V18" s="15">
        <f t="shared" si="7"/>
        <v>2.1701153961290638</v>
      </c>
      <c r="W18" s="15">
        <f t="shared" si="8"/>
        <v>1.4999052562656878E-2</v>
      </c>
      <c r="X18" s="16" t="str">
        <f t="shared" si="9"/>
        <v>Significativa</v>
      </c>
    </row>
    <row r="19" spans="1:24" x14ac:dyDescent="0.25">
      <c r="A19" s="13" t="s">
        <v>16</v>
      </c>
      <c r="B19" s="38">
        <v>23.214770518911877</v>
      </c>
      <c r="C19" s="36">
        <f>0.0112488*100</f>
        <v>1.1248799999999999</v>
      </c>
      <c r="D19" s="37">
        <f>0.293227*100</f>
        <v>29.322700000000001</v>
      </c>
      <c r="E19" s="36">
        <f>0.0093775*100</f>
        <v>0.93775000000000008</v>
      </c>
      <c r="F19" s="4"/>
      <c r="G19" s="14">
        <f t="shared" si="0"/>
        <v>6.1079294810881244</v>
      </c>
      <c r="H19" s="15">
        <f t="shared" si="1"/>
        <v>1.4644896984615494</v>
      </c>
      <c r="I19" s="15">
        <f t="shared" si="2"/>
        <v>4.1706879109525463</v>
      </c>
      <c r="J19" s="15">
        <f t="shared" si="3"/>
        <v>1.5184076118335277E-5</v>
      </c>
      <c r="K19" s="16" t="str">
        <f t="shared" si="4"/>
        <v>Significativa</v>
      </c>
      <c r="N19" s="13" t="s">
        <v>16</v>
      </c>
      <c r="O19" s="38">
        <v>28.108956349694221</v>
      </c>
      <c r="P19" s="36">
        <v>0.99009999999999998</v>
      </c>
      <c r="Q19" s="37">
        <f>0.293227*100</f>
        <v>29.322700000000001</v>
      </c>
      <c r="R19" s="36">
        <f>0.0093775*100</f>
        <v>0.93775000000000008</v>
      </c>
      <c r="S19" s="4"/>
      <c r="T19" s="14">
        <f t="shared" si="5"/>
        <v>1.2137436503057799</v>
      </c>
      <c r="U19" s="15">
        <f t="shared" si="6"/>
        <v>1.3636983069946227</v>
      </c>
      <c r="V19" s="15">
        <f t="shared" si="7"/>
        <v>0.89003824678838284</v>
      </c>
      <c r="W19" s="15">
        <f t="shared" si="8"/>
        <v>0.18672267481356741</v>
      </c>
      <c r="X19" s="16" t="str">
        <f t="shared" si="9"/>
        <v>No significativa</v>
      </c>
    </row>
    <row r="20" spans="1:24" x14ac:dyDescent="0.25">
      <c r="A20" s="17" t="s">
        <v>17</v>
      </c>
      <c r="B20" s="38"/>
      <c r="C20" s="36"/>
      <c r="D20" s="37"/>
      <c r="E20" s="36"/>
      <c r="F20" s="4"/>
      <c r="G20" s="14"/>
      <c r="H20" s="15"/>
      <c r="I20" s="15"/>
      <c r="J20" s="15"/>
      <c r="K20" s="16"/>
      <c r="N20" s="17" t="s">
        <v>17</v>
      </c>
      <c r="O20" s="38"/>
      <c r="P20" s="36"/>
      <c r="Q20" s="37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38">
        <v>73.308647601278693</v>
      </c>
      <c r="C21" s="36">
        <f>0.0123953*100</f>
        <v>1.23953</v>
      </c>
      <c r="D21" s="37">
        <f>0.627453*100</f>
        <v>62.7453</v>
      </c>
      <c r="E21" s="36">
        <f>0.0096833*100</f>
        <v>0.96833000000000002</v>
      </c>
      <c r="F21" s="4"/>
      <c r="G21" s="14">
        <f>D21-B21</f>
        <v>-10.563347601278693</v>
      </c>
      <c r="H21" s="15">
        <f>SQRT(E21*E21+C21*C21)</f>
        <v>1.5729264476764322</v>
      </c>
      <c r="I21" s="15">
        <f>G21/H21</f>
        <v>-6.7157288993920501</v>
      </c>
      <c r="J21" s="15">
        <f>IF(I21&gt;0,(1-NORMSDIST(I21)),(NORMSDIST(I21)))</f>
        <v>9.3564210190202257E-12</v>
      </c>
      <c r="K21" s="16" t="str">
        <f>IF(J21&lt;0.025,"Significativa","No significativa")</f>
        <v>Significativa</v>
      </c>
      <c r="N21" s="18" t="s">
        <v>18</v>
      </c>
      <c r="O21" s="38">
        <v>65.416530379374905</v>
      </c>
      <c r="P21" s="36">
        <v>1.04366</v>
      </c>
      <c r="Q21" s="37">
        <f>0.627453*100</f>
        <v>62.7453</v>
      </c>
      <c r="R21" s="36">
        <f>0.0096833*100</f>
        <v>0.96833000000000002</v>
      </c>
      <c r="S21" s="4"/>
      <c r="T21" s="14">
        <f>Q21-O21</f>
        <v>-2.6712303793749044</v>
      </c>
      <c r="U21" s="15">
        <f>SQRT(R21*R21+P21*P21)</f>
        <v>1.4236885841011719</v>
      </c>
      <c r="V21" s="15">
        <f>T21/U21</f>
        <v>-1.8762743546625771</v>
      </c>
      <c r="W21" s="15">
        <f>IF(V21&gt;0,(1-NORMSDIST(V21)),(NORMSDIST(V21)))</f>
        <v>3.030880832006503E-2</v>
      </c>
      <c r="X21" s="16" t="str">
        <f>IF(W21&lt;0.025,"Significativa","No significativa")</f>
        <v>No significativa</v>
      </c>
    </row>
    <row r="22" spans="1:24" x14ac:dyDescent="0.25">
      <c r="A22" s="18" t="s">
        <v>19</v>
      </c>
      <c r="B22" s="38">
        <v>25.283357126019922</v>
      </c>
      <c r="C22" s="36">
        <f>0.0177755*100</f>
        <v>1.77755</v>
      </c>
      <c r="D22" s="37">
        <f>0.142847*100</f>
        <v>14.284700000000001</v>
      </c>
      <c r="E22" s="36">
        <f>0.0081933*100</f>
        <v>0.81933000000000011</v>
      </c>
      <c r="F22" s="4"/>
      <c r="G22" s="14">
        <f>D22-B22</f>
        <v>-10.998657126019921</v>
      </c>
      <c r="H22" s="15">
        <f>SQRT(E22*E22+C22*C22)</f>
        <v>1.9572903850476555</v>
      </c>
      <c r="I22" s="15">
        <f>G22/H22</f>
        <v>-5.6193282356271981</v>
      </c>
      <c r="J22" s="15">
        <f>IF(I22&gt;0,(1-NORMSDIST(I22)),(NORMSDIST(I22)))</f>
        <v>9.5850677059718052E-9</v>
      </c>
      <c r="K22" s="16" t="str">
        <f>IF(J22&lt;0.025,"Significativa","No significativa")</f>
        <v>Significativa</v>
      </c>
      <c r="N22" s="18" t="s">
        <v>19</v>
      </c>
      <c r="O22" s="38">
        <v>14.9627629964268</v>
      </c>
      <c r="P22" s="36">
        <v>0.94118000000000002</v>
      </c>
      <c r="Q22" s="37">
        <f>0.142847*100</f>
        <v>14.284700000000001</v>
      </c>
      <c r="R22" s="36">
        <f>0.0081933*100</f>
        <v>0.81933000000000011</v>
      </c>
      <c r="S22" s="4"/>
      <c r="T22" s="14">
        <f>Q22-O22</f>
        <v>-0.67806299642679946</v>
      </c>
      <c r="U22" s="15">
        <f>SQRT(R22*R22+P22*P22)</f>
        <v>1.2478467218773306</v>
      </c>
      <c r="V22" s="15">
        <f>T22/U22</f>
        <v>-0.5433864468599825</v>
      </c>
      <c r="W22" s="15">
        <f>IF(V22&gt;0,(1-NORMSDIST(V22)),(NORMSDIST(V22)))</f>
        <v>0.29343187763850559</v>
      </c>
      <c r="X22" s="16" t="str">
        <f>IF(W22&lt;0.025,"Significativa","No significativa")</f>
        <v>No significativa</v>
      </c>
    </row>
    <row r="23" spans="1:24" x14ac:dyDescent="0.25">
      <c r="A23" s="19" t="s">
        <v>20</v>
      </c>
      <c r="B23" s="38"/>
      <c r="C23" s="36"/>
      <c r="D23" s="37"/>
      <c r="E23" s="36"/>
      <c r="F23" s="4"/>
      <c r="G23" s="14"/>
      <c r="H23" s="15"/>
      <c r="I23" s="15"/>
      <c r="J23" s="15"/>
      <c r="K23" s="16"/>
      <c r="N23" s="19" t="s">
        <v>20</v>
      </c>
      <c r="O23" s="38"/>
      <c r="P23" s="36"/>
      <c r="Q23" s="37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38">
        <v>21.247983940920214</v>
      </c>
      <c r="C24" s="36">
        <f>0.0097581*100</f>
        <v>0.97581000000000007</v>
      </c>
      <c r="D24" s="37">
        <f>0.150662*100</f>
        <v>15.066199999999998</v>
      </c>
      <c r="E24" s="36">
        <f>0.0055128*100</f>
        <v>0.55127999999999999</v>
      </c>
      <c r="F24" s="4"/>
      <c r="G24" s="14">
        <f t="shared" ref="G24:G29" si="10">D24-B24</f>
        <v>-6.1817839409202158</v>
      </c>
      <c r="H24" s="15">
        <f t="shared" ref="H24:H29" si="11">SQRT(E24*E24+C24*C24)</f>
        <v>1.1207652718120775</v>
      </c>
      <c r="I24" s="15">
        <f t="shared" ref="I24:I29" si="12">G24/H24</f>
        <v>-5.5156812014039067</v>
      </c>
      <c r="J24" s="15">
        <f t="shared" ref="J24:J29" si="13">IF(I24&gt;0,(1-NORMSDIST(I24)),(NORMSDIST(I24)))</f>
        <v>1.7371578079382726E-8</v>
      </c>
      <c r="K24" s="16" t="str">
        <f t="shared" ref="K24:K29" si="14">IF(J24&lt;0.025,"Significativa","No significativa")</f>
        <v>Significativa</v>
      </c>
      <c r="N24" s="20" t="s">
        <v>21</v>
      </c>
      <c r="O24" s="38">
        <v>16.524639818369124</v>
      </c>
      <c r="P24" s="36">
        <v>0.73236999999999997</v>
      </c>
      <c r="Q24" s="37">
        <f>0.150662*100</f>
        <v>15.066199999999998</v>
      </c>
      <c r="R24" s="36">
        <f>0.0055128*100</f>
        <v>0.55127999999999999</v>
      </c>
      <c r="S24" s="4"/>
      <c r="T24" s="14">
        <f t="shared" ref="T24:T29" si="15">Q24-O24</f>
        <v>-1.4584398183691256</v>
      </c>
      <c r="U24" s="15">
        <f t="shared" ref="U24:U29" si="16">SQRT(R24*R24+P24*P24)</f>
        <v>0.91666539985973072</v>
      </c>
      <c r="V24" s="15">
        <f t="shared" ref="V24:V29" si="17">T24/U24</f>
        <v>-1.5910274551568084</v>
      </c>
      <c r="W24" s="15">
        <f t="shared" ref="W24:W29" si="18">IF(V24&gt;0,(1-NORMSDIST(V24)),(NORMSDIST(V24)))</f>
        <v>5.5801698557430467E-2</v>
      </c>
      <c r="X24" s="16" t="str">
        <f t="shared" ref="X24:X29" si="19">IF(W24&lt;0.025,"Significativa","No significativa")</f>
        <v>No significativa</v>
      </c>
    </row>
    <row r="25" spans="1:24" x14ac:dyDescent="0.25">
      <c r="A25" s="18" t="s">
        <v>22</v>
      </c>
      <c r="B25" s="38">
        <v>29.202050165308798</v>
      </c>
      <c r="C25" s="36">
        <f>0.0150084*100</f>
        <v>1.50084</v>
      </c>
      <c r="D25" s="37">
        <f>0.195729*100</f>
        <v>19.572899999999997</v>
      </c>
      <c r="E25" s="36">
        <f>0.0060627*100</f>
        <v>0.60626999999999998</v>
      </c>
      <c r="F25" s="4"/>
      <c r="G25" s="14">
        <f t="shared" si="10"/>
        <v>-9.6291501653088005</v>
      </c>
      <c r="H25" s="15">
        <f t="shared" si="11"/>
        <v>1.6186673588171228</v>
      </c>
      <c r="I25" s="15">
        <f t="shared" si="12"/>
        <v>-5.9488134562406429</v>
      </c>
      <c r="J25" s="15">
        <f t="shared" si="13"/>
        <v>1.3504662132477622E-9</v>
      </c>
      <c r="K25" s="16" t="str">
        <f t="shared" si="14"/>
        <v>Significativa</v>
      </c>
      <c r="N25" s="18" t="s">
        <v>22</v>
      </c>
      <c r="O25" s="38">
        <v>13.160346577903557</v>
      </c>
      <c r="P25" s="36">
        <v>0.64468999999999999</v>
      </c>
      <c r="Q25" s="37">
        <f>0.195729*100</f>
        <v>19.572899999999997</v>
      </c>
      <c r="R25" s="36">
        <f>0.0060627*100</f>
        <v>0.60626999999999998</v>
      </c>
      <c r="S25" s="4"/>
      <c r="T25" s="14">
        <f t="shared" si="15"/>
        <v>6.4125534220964404</v>
      </c>
      <c r="U25" s="15">
        <f t="shared" si="16"/>
        <v>0.88497938337568061</v>
      </c>
      <c r="V25" s="15">
        <f t="shared" si="17"/>
        <v>7.2459918756935178</v>
      </c>
      <c r="W25" s="15">
        <f t="shared" si="18"/>
        <v>2.1460611066004276E-13</v>
      </c>
      <c r="X25" s="16" t="str">
        <f t="shared" si="19"/>
        <v>Significativa</v>
      </c>
    </row>
    <row r="26" spans="1:24" x14ac:dyDescent="0.25">
      <c r="A26" s="18" t="s">
        <v>23</v>
      </c>
      <c r="B26" s="38">
        <v>58.809762358097871</v>
      </c>
      <c r="C26" s="36">
        <f>0.0142645*100</f>
        <v>1.42645</v>
      </c>
      <c r="D26" s="37">
        <f>0.431795*100</f>
        <v>43.179499999999997</v>
      </c>
      <c r="E26" s="36">
        <f>0.0098241*100</f>
        <v>0.98241000000000001</v>
      </c>
      <c r="F26" s="4"/>
      <c r="G26" s="14">
        <f t="shared" si="10"/>
        <v>-15.630262358097873</v>
      </c>
      <c r="H26" s="15">
        <f t="shared" si="11"/>
        <v>1.7320187673925476</v>
      </c>
      <c r="I26" s="15">
        <f t="shared" si="12"/>
        <v>-9.0243031151609951</v>
      </c>
      <c r="J26" s="15">
        <f t="shared" si="13"/>
        <v>9.0421351414096485E-20</v>
      </c>
      <c r="K26" s="16" t="str">
        <f t="shared" si="14"/>
        <v>Significativa</v>
      </c>
      <c r="N26" s="18" t="s">
        <v>23</v>
      </c>
      <c r="O26" s="38">
        <v>45.403642466065683</v>
      </c>
      <c r="P26" s="36">
        <v>1.22723</v>
      </c>
      <c r="Q26" s="37">
        <f>0.431795*100</f>
        <v>43.179499999999997</v>
      </c>
      <c r="R26" s="36">
        <f>0.0098241*100</f>
        <v>0.98241000000000001</v>
      </c>
      <c r="S26" s="4"/>
      <c r="T26" s="14">
        <f t="shared" si="15"/>
        <v>-2.2241424660656861</v>
      </c>
      <c r="U26" s="15">
        <f t="shared" si="16"/>
        <v>1.5720123666816366</v>
      </c>
      <c r="V26" s="15">
        <f t="shared" si="17"/>
        <v>-1.4148377666777725</v>
      </c>
      <c r="W26" s="15">
        <f t="shared" si="18"/>
        <v>7.8558034067762045E-2</v>
      </c>
      <c r="X26" s="16" t="str">
        <f t="shared" si="19"/>
        <v>No significativa</v>
      </c>
    </row>
    <row r="27" spans="1:24" x14ac:dyDescent="0.25">
      <c r="A27" s="18" t="s">
        <v>24</v>
      </c>
      <c r="B27" s="38">
        <v>14.188191268161523</v>
      </c>
      <c r="C27" s="36">
        <f>0.015108*100</f>
        <v>1.5107999999999999</v>
      </c>
      <c r="D27" s="37">
        <f>0.069705*100</f>
        <v>6.9705000000000004</v>
      </c>
      <c r="E27" s="36">
        <f>0.0073167*100</f>
        <v>0.73166999999999993</v>
      </c>
      <c r="F27" s="4"/>
      <c r="G27" s="14">
        <f t="shared" si="10"/>
        <v>-7.2176912681615226</v>
      </c>
      <c r="H27" s="15">
        <f t="shared" si="11"/>
        <v>1.6786475594656549</v>
      </c>
      <c r="I27" s="15">
        <f t="shared" si="12"/>
        <v>-4.2997061696852255</v>
      </c>
      <c r="J27" s="15">
        <f t="shared" si="13"/>
        <v>8.551235435847555E-6</v>
      </c>
      <c r="K27" s="16" t="str">
        <f t="shared" si="14"/>
        <v>Significativa</v>
      </c>
      <c r="N27" s="18" t="s">
        <v>24</v>
      </c>
      <c r="O27" s="38">
        <v>8.5026964501821158</v>
      </c>
      <c r="P27" s="36">
        <v>0.86421999999999988</v>
      </c>
      <c r="Q27" s="37">
        <f>0.069705*100</f>
        <v>6.9705000000000004</v>
      </c>
      <c r="R27" s="36">
        <f>0.0073167*100</f>
        <v>0.73166999999999993</v>
      </c>
      <c r="S27" s="4"/>
      <c r="T27" s="14">
        <f t="shared" si="15"/>
        <v>-1.5321964501821155</v>
      </c>
      <c r="U27" s="15">
        <f t="shared" si="16"/>
        <v>1.1323502979643709</v>
      </c>
      <c r="V27" s="15">
        <f t="shared" si="17"/>
        <v>-1.3531117119292051</v>
      </c>
      <c r="W27" s="15">
        <f t="shared" si="18"/>
        <v>8.8009972303534037E-2</v>
      </c>
      <c r="X27" s="16" t="str">
        <f t="shared" si="19"/>
        <v>No significativa</v>
      </c>
    </row>
    <row r="28" spans="1:24" x14ac:dyDescent="0.25">
      <c r="A28" s="18" t="s">
        <v>25</v>
      </c>
      <c r="B28" s="38">
        <v>18.623861054048803</v>
      </c>
      <c r="C28" s="36">
        <f>0.0168554*100</f>
        <v>1.68554</v>
      </c>
      <c r="D28" s="37">
        <f>0.116657*100</f>
        <v>11.665699999999999</v>
      </c>
      <c r="E28" s="36">
        <f>0.0145864*100</f>
        <v>1.4586399999999999</v>
      </c>
      <c r="F28" s="4"/>
      <c r="G28" s="14">
        <f t="shared" si="10"/>
        <v>-6.9581610540488033</v>
      </c>
      <c r="H28" s="15">
        <f t="shared" si="11"/>
        <v>2.229052655546746</v>
      </c>
      <c r="I28" s="15">
        <f t="shared" si="12"/>
        <v>-3.1215776965762583</v>
      </c>
      <c r="J28" s="15">
        <f t="shared" si="13"/>
        <v>8.9942386855420739E-4</v>
      </c>
      <c r="K28" s="16" t="str">
        <f t="shared" si="14"/>
        <v>Significativa</v>
      </c>
      <c r="N28" s="18" t="s">
        <v>25</v>
      </c>
      <c r="O28" s="38">
        <v>14.916846544151049</v>
      </c>
      <c r="P28" s="36">
        <v>1.16235</v>
      </c>
      <c r="Q28" s="37">
        <f>0.116657*100</f>
        <v>11.665699999999999</v>
      </c>
      <c r="R28" s="36">
        <f>0.0145864*100</f>
        <v>1.4586399999999999</v>
      </c>
      <c r="S28" s="4"/>
      <c r="T28" s="14">
        <f t="shared" si="15"/>
        <v>-3.2511465441510499</v>
      </c>
      <c r="U28" s="15">
        <f t="shared" si="16"/>
        <v>1.8651241706921284</v>
      </c>
      <c r="V28" s="15">
        <f t="shared" si="17"/>
        <v>-1.7431260584353387</v>
      </c>
      <c r="W28" s="15">
        <f t="shared" si="18"/>
        <v>4.0655798854369617E-2</v>
      </c>
      <c r="X28" s="16" t="str">
        <f t="shared" si="19"/>
        <v>No significativa</v>
      </c>
    </row>
    <row r="29" spans="1:24" x14ac:dyDescent="0.25">
      <c r="A29" s="18" t="s">
        <v>26</v>
      </c>
      <c r="B29" s="38">
        <v>22.747835318600824</v>
      </c>
      <c r="C29" s="36">
        <f>0.0165098*100</f>
        <v>1.6509800000000001</v>
      </c>
      <c r="D29" s="37">
        <f>0.219982*100</f>
        <v>21.998200000000001</v>
      </c>
      <c r="E29" s="36">
        <f>0.0110224*100</f>
        <v>1.1022399999999999</v>
      </c>
      <c r="F29" s="4"/>
      <c r="G29" s="14">
        <f t="shared" si="10"/>
        <v>-0.74963531860082355</v>
      </c>
      <c r="H29" s="15">
        <f t="shared" si="11"/>
        <v>1.985111578224257</v>
      </c>
      <c r="I29" s="15">
        <f t="shared" si="12"/>
        <v>-0.37762880778288305</v>
      </c>
      <c r="J29" s="15">
        <f t="shared" si="13"/>
        <v>0.35285318055788722</v>
      </c>
      <c r="K29" s="16" t="str">
        <f t="shared" si="14"/>
        <v>No significativa</v>
      </c>
      <c r="N29" s="18" t="s">
        <v>26</v>
      </c>
      <c r="O29" s="38">
        <v>24.523168404784833</v>
      </c>
      <c r="P29" s="36">
        <v>1.1651199999999999</v>
      </c>
      <c r="Q29" s="37">
        <f>0.219982*100</f>
        <v>21.998200000000001</v>
      </c>
      <c r="R29" s="36">
        <f>0.0110224*100</f>
        <v>1.1022399999999999</v>
      </c>
      <c r="S29" s="4"/>
      <c r="T29" s="14">
        <f t="shared" si="15"/>
        <v>-2.5249684047848326</v>
      </c>
      <c r="U29" s="15">
        <f t="shared" si="16"/>
        <v>1.60388205052616</v>
      </c>
      <c r="V29" s="15">
        <f t="shared" si="17"/>
        <v>-1.5742855928567232</v>
      </c>
      <c r="W29" s="15">
        <f t="shared" si="18"/>
        <v>5.7710719493082797E-2</v>
      </c>
      <c r="X29" s="16" t="str">
        <f t="shared" si="19"/>
        <v>No significativa</v>
      </c>
    </row>
    <row r="30" spans="1:24" x14ac:dyDescent="0.25">
      <c r="A30" s="8" t="s">
        <v>27</v>
      </c>
      <c r="B30" s="38"/>
      <c r="C30" s="36"/>
      <c r="D30" s="37"/>
      <c r="E30" s="36"/>
      <c r="F30" s="4"/>
      <c r="G30" s="14"/>
      <c r="H30" s="15"/>
      <c r="I30" s="15"/>
      <c r="J30" s="15"/>
      <c r="K30" s="16"/>
      <c r="N30" s="8" t="s">
        <v>27</v>
      </c>
      <c r="O30" s="38"/>
      <c r="P30" s="36"/>
      <c r="Q30" s="37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38">
        <v>8.1104147582141994</v>
      </c>
      <c r="C31" s="36">
        <f>0.0097818*100</f>
        <v>0.97818000000000005</v>
      </c>
      <c r="D31" s="37">
        <f>0.0860096*100</f>
        <v>8.6009600000000006</v>
      </c>
      <c r="E31" s="36">
        <f>0.0058324*100</f>
        <v>0.58323999999999998</v>
      </c>
      <c r="F31" s="22"/>
      <c r="G31" s="14">
        <f>D31-B31</f>
        <v>0.49054524178580117</v>
      </c>
      <c r="H31" s="15">
        <f>SQRT(((E31^2)+(C31^2)))</f>
        <v>1.1388612777682803</v>
      </c>
      <c r="I31" s="15">
        <f>(D31-B31)/SQRT(((E31^2)+(C31^2)))</f>
        <v>0.43073309397881776</v>
      </c>
      <c r="J31" s="15">
        <f>IF(I31&gt;0,(1-NORMSDIST(I31)),(NORMSDIST(I31)))</f>
        <v>0.33333122639039858</v>
      </c>
      <c r="K31" s="16" t="str">
        <f>IF(J31&lt;0.025,"Significativa","No significativa")</f>
        <v>No significativa</v>
      </c>
      <c r="N31" s="21" t="s">
        <v>28</v>
      </c>
      <c r="O31" s="38">
        <v>7.5018938906007913</v>
      </c>
      <c r="P31" s="36">
        <v>0.79663000000000006</v>
      </c>
      <c r="Q31" s="37">
        <f>0.0860096*100</f>
        <v>8.6009600000000006</v>
      </c>
      <c r="R31" s="36">
        <f>0.0058324*100</f>
        <v>0.58323999999999998</v>
      </c>
      <c r="S31" s="22"/>
      <c r="T31" s="14">
        <f>Q31-O31</f>
        <v>1.0990661093992093</v>
      </c>
      <c r="U31" s="15">
        <f>SQRT(((R31^2)+(P31^2)))</f>
        <v>0.98731365558266226</v>
      </c>
      <c r="V31" s="15">
        <f>(Q31-O31)/SQRT(((R31^2)+(P31^2)))</f>
        <v>1.1131884008538264</v>
      </c>
      <c r="W31" s="15">
        <f>IF(V31&gt;0,(1-NORMSDIST(V31)),(NORMSDIST(V31)))</f>
        <v>0.13281376161482672</v>
      </c>
      <c r="X31" s="16" t="str">
        <f>IF(W31&lt;0.025,"Significativa","No significativa")</f>
        <v>No significativa</v>
      </c>
    </row>
    <row r="32" spans="1:24" ht="15.75" thickBot="1" x14ac:dyDescent="0.3">
      <c r="A32" s="23" t="s">
        <v>29</v>
      </c>
      <c r="B32" s="35">
        <v>35.870130919988256</v>
      </c>
      <c r="C32" s="33">
        <f>0.014979*100</f>
        <v>1.4979</v>
      </c>
      <c r="D32" s="34">
        <f>0.361858*100</f>
        <v>36.1858</v>
      </c>
      <c r="E32" s="33">
        <f>0.0124215*100</f>
        <v>1.2421500000000001</v>
      </c>
      <c r="F32" s="24"/>
      <c r="G32" s="32">
        <f>D32-B32</f>
        <v>0.31566908001174454</v>
      </c>
      <c r="H32" s="25">
        <f>SQRT(((E32^2)+(C32^2)))</f>
        <v>1.9459293493084482</v>
      </c>
      <c r="I32" s="25">
        <f>(D32-B32)/SQRT(((E32^2)+(C32^2)))</f>
        <v>0.16222021633207198</v>
      </c>
      <c r="J32" s="25">
        <f>IF(I32&gt;0,(1-NORMSDIST(I32)),(NORMSDIST(I32)))</f>
        <v>0.43556622016090962</v>
      </c>
      <c r="K32" s="26" t="str">
        <f>IF(J32&lt;0.025,"Significativa","No significativa")</f>
        <v>No significativa</v>
      </c>
      <c r="N32" s="23" t="s">
        <v>29</v>
      </c>
      <c r="O32" s="35">
        <v>37.352936092972989</v>
      </c>
      <c r="P32" s="33">
        <v>1.41944</v>
      </c>
      <c r="Q32" s="34">
        <f>0.361858*100</f>
        <v>36.1858</v>
      </c>
      <c r="R32" s="33">
        <f>0.0124215*100</f>
        <v>1.2421500000000001</v>
      </c>
      <c r="S32" s="24"/>
      <c r="T32" s="32">
        <f>Q32-O32</f>
        <v>-1.1671360929729886</v>
      </c>
      <c r="U32" s="25">
        <f>SQRT(((R32^2)+(P32^2)))</f>
        <v>1.8861989651412707</v>
      </c>
      <c r="V32" s="25">
        <f>(Q32-O32)/SQRT(((R32^2)+(P32^2)))</f>
        <v>-0.61877676456342112</v>
      </c>
      <c r="W32" s="25">
        <f>IF(V32&gt;0,(1-NORMSDIST(V32)),(NORMSDIST(V32)))</f>
        <v>0.26803171558655436</v>
      </c>
      <c r="X32" s="26" t="str">
        <f>IF(W32&lt;0.025,"Significativa","No significativa")</f>
        <v>No 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10:X10"/>
    <mergeCell ref="N11:N12"/>
    <mergeCell ref="O11:P11"/>
    <mergeCell ref="Q11:R11"/>
    <mergeCell ref="V11:V12"/>
    <mergeCell ref="W11:W12"/>
    <mergeCell ref="X11:X12"/>
    <mergeCell ref="T12:U12"/>
    <mergeCell ref="N9:X9"/>
    <mergeCell ref="A10:K10"/>
    <mergeCell ref="A11:A12"/>
    <mergeCell ref="B11:C11"/>
    <mergeCell ref="D11:E11"/>
    <mergeCell ref="I11:I12"/>
    <mergeCell ref="J11:J12"/>
    <mergeCell ref="K11:K12"/>
    <mergeCell ref="G12:H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57D5-88D7-467A-B36C-36C104391D40}">
  <dimension ref="A4:X34"/>
  <sheetViews>
    <sheetView workbookViewId="0">
      <selection activeCell="M2" sqref="M2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51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50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38">
        <v>27.11696122095827</v>
      </c>
      <c r="C14" s="36">
        <f>0.0119093*100</f>
        <v>1.19093</v>
      </c>
      <c r="D14" s="38">
        <f>0.311902*100</f>
        <v>31.190200000000001</v>
      </c>
      <c r="E14" s="36">
        <f>0.0138644*100</f>
        <v>1.3864400000000001</v>
      </c>
      <c r="F14" s="4"/>
      <c r="G14" s="14">
        <f t="shared" ref="G14:G19" si="0">D14-B14</f>
        <v>4.0732387790417306</v>
      </c>
      <c r="H14" s="15">
        <f t="shared" ref="H14:H19" si="1">SQRT(E14*E14+C14*C14)</f>
        <v>1.8277117219353822</v>
      </c>
      <c r="I14" s="15">
        <f t="shared" ref="I14:I19" si="2">G14/H14</f>
        <v>2.2286002382960794</v>
      </c>
      <c r="J14" s="15">
        <f t="shared" ref="J14:J19" si="3">IF(I14&gt;0,(1-NORMSDIST(I14)),(NORMSDIST(I14)))</f>
        <v>1.292025759511628E-2</v>
      </c>
      <c r="K14" s="16" t="str">
        <f t="shared" ref="K14:K19" si="4">IF(J14&lt;0.025,"Significativa","No significativa")</f>
        <v>Significativa</v>
      </c>
      <c r="N14" s="13" t="s">
        <v>11</v>
      </c>
      <c r="O14" s="38">
        <v>28.185481013323805</v>
      </c>
      <c r="P14" s="36">
        <v>1.32046</v>
      </c>
      <c r="Q14" s="38">
        <f>0.311902*100</f>
        <v>31.190200000000001</v>
      </c>
      <c r="R14" s="36">
        <f>0.0138644*100</f>
        <v>1.3864400000000001</v>
      </c>
      <c r="S14" s="4"/>
      <c r="T14" s="14">
        <f t="shared" ref="T14:T19" si="5">Q14-O14</f>
        <v>3.0047189866761954</v>
      </c>
      <c r="U14" s="15">
        <f t="shared" ref="U14:U19" si="6">SQRT(R14*R14+P14*P14)</f>
        <v>1.9146358622986253</v>
      </c>
      <c r="V14" s="15">
        <f t="shared" ref="V14:V19" si="7">T14/U14</f>
        <v>1.5693422680743405</v>
      </c>
      <c r="W14" s="15">
        <f t="shared" ref="W14:W19" si="8">IF(V14&gt;0,(1-NORMSDIST(V14)),(NORMSDIST(V14)))</f>
        <v>5.8284104190015951E-2</v>
      </c>
      <c r="X14" s="16" t="str">
        <f t="shared" ref="X14:X19" si="9">IF(W14&lt;0.025,"Significativa","No significativa")</f>
        <v>No significativa</v>
      </c>
    </row>
    <row r="15" spans="1:24" x14ac:dyDescent="0.25">
      <c r="A15" s="13" t="s">
        <v>12</v>
      </c>
      <c r="B15" s="38">
        <v>22.761529223757247</v>
      </c>
      <c r="C15" s="36">
        <f>0.0099869*100</f>
        <v>0.99868999999999997</v>
      </c>
      <c r="D15" s="38">
        <f>0.268276*100</f>
        <v>26.8276</v>
      </c>
      <c r="E15" s="36">
        <f>0.0108677*100</f>
        <v>1.08677</v>
      </c>
      <c r="F15" s="4"/>
      <c r="G15" s="14">
        <f t="shared" si="0"/>
        <v>4.0660707762427535</v>
      </c>
      <c r="H15" s="15">
        <f t="shared" si="1"/>
        <v>1.4759575701896042</v>
      </c>
      <c r="I15" s="15">
        <f t="shared" si="2"/>
        <v>2.7548696916269879</v>
      </c>
      <c r="J15" s="15">
        <f t="shared" si="3"/>
        <v>2.9357757542094465E-3</v>
      </c>
      <c r="K15" s="16" t="str">
        <f t="shared" si="4"/>
        <v>Significativa</v>
      </c>
      <c r="N15" s="13" t="s">
        <v>12</v>
      </c>
      <c r="O15" s="38">
        <v>25.552366243484983</v>
      </c>
      <c r="P15" s="36">
        <v>1.17299</v>
      </c>
      <c r="Q15" s="38">
        <f>0.268276*100</f>
        <v>26.8276</v>
      </c>
      <c r="R15" s="36">
        <f>0.0108677*100</f>
        <v>1.08677</v>
      </c>
      <c r="S15" s="4"/>
      <c r="T15" s="14">
        <f t="shared" si="5"/>
        <v>1.2752337565150178</v>
      </c>
      <c r="U15" s="15">
        <f t="shared" si="6"/>
        <v>1.5990542745635621</v>
      </c>
      <c r="V15" s="15">
        <f t="shared" si="7"/>
        <v>0.79749247839825432</v>
      </c>
      <c r="W15" s="15">
        <f t="shared" si="8"/>
        <v>0.21258253472817024</v>
      </c>
      <c r="X15" s="16" t="str">
        <f t="shared" si="9"/>
        <v>No significativa</v>
      </c>
    </row>
    <row r="16" spans="1:24" x14ac:dyDescent="0.25">
      <c r="A16" s="13" t="s">
        <v>13</v>
      </c>
      <c r="B16" s="38">
        <v>4.3554319972010251</v>
      </c>
      <c r="C16" s="36">
        <f>0.0054011*100</f>
        <v>0.54010999999999998</v>
      </c>
      <c r="D16" s="38">
        <f>0.0436263*100</f>
        <v>4.3626300000000002</v>
      </c>
      <c r="E16" s="36">
        <f>0.0066226*100</f>
        <v>0.66226000000000007</v>
      </c>
      <c r="F16" s="4"/>
      <c r="G16" s="14">
        <f t="shared" si="0"/>
        <v>7.1980027989750894E-3</v>
      </c>
      <c r="H16" s="15">
        <f t="shared" si="1"/>
        <v>0.85458008384235129</v>
      </c>
      <c r="I16" s="15">
        <f t="shared" si="2"/>
        <v>8.4228534400328254E-3</v>
      </c>
      <c r="J16" s="15">
        <f t="shared" si="3"/>
        <v>0.49663980737236857</v>
      </c>
      <c r="K16" s="16" t="str">
        <f t="shared" si="4"/>
        <v>No significativa</v>
      </c>
      <c r="N16" s="13" t="s">
        <v>13</v>
      </c>
      <c r="O16" s="39">
        <v>2.6331147698388255</v>
      </c>
      <c r="P16" s="36">
        <v>0.44042999999999999</v>
      </c>
      <c r="Q16" s="38">
        <f>0.0436263*100</f>
        <v>4.3626300000000002</v>
      </c>
      <c r="R16" s="36">
        <f>0.0066226*100</f>
        <v>0.66226000000000007</v>
      </c>
      <c r="S16" s="4"/>
      <c r="T16" s="14">
        <f t="shared" si="5"/>
        <v>1.7295152301611747</v>
      </c>
      <c r="U16" s="15">
        <f t="shared" si="6"/>
        <v>0.79534073987191178</v>
      </c>
      <c r="V16" s="15">
        <f t="shared" si="7"/>
        <v>2.1745588317778242</v>
      </c>
      <c r="W16" s="15">
        <f t="shared" si="8"/>
        <v>1.4831596097330535E-2</v>
      </c>
      <c r="X16" s="16" t="str">
        <f t="shared" si="9"/>
        <v>Significativa</v>
      </c>
    </row>
    <row r="17" spans="1:24" x14ac:dyDescent="0.25">
      <c r="A17" s="13" t="s">
        <v>14</v>
      </c>
      <c r="B17" s="38">
        <v>38.651158832373547</v>
      </c>
      <c r="C17" s="36">
        <f>0.0119088*100</f>
        <v>1.1908800000000002</v>
      </c>
      <c r="D17" s="38">
        <f>0.277186*100</f>
        <v>27.718599999999999</v>
      </c>
      <c r="E17" s="36">
        <f>0.0093014*100</f>
        <v>0.93013999999999997</v>
      </c>
      <c r="F17" s="4"/>
      <c r="G17" s="14">
        <f t="shared" si="0"/>
        <v>-10.932558832373548</v>
      </c>
      <c r="H17" s="15">
        <f t="shared" si="1"/>
        <v>1.5110776267286867</v>
      </c>
      <c r="I17" s="15">
        <f t="shared" si="2"/>
        <v>-7.2349418977510176</v>
      </c>
      <c r="J17" s="15">
        <f t="shared" si="3"/>
        <v>2.3286424114468077E-13</v>
      </c>
      <c r="K17" s="16" t="str">
        <f t="shared" si="4"/>
        <v>Significativa</v>
      </c>
      <c r="N17" s="13" t="s">
        <v>14</v>
      </c>
      <c r="O17" s="38">
        <v>30.087822746388511</v>
      </c>
      <c r="P17" s="36">
        <v>1.34474</v>
      </c>
      <c r="Q17" s="38">
        <f>0.277186*100</f>
        <v>27.718599999999999</v>
      </c>
      <c r="R17" s="36">
        <f>0.0093014*100</f>
        <v>0.93013999999999997</v>
      </c>
      <c r="S17" s="4"/>
      <c r="T17" s="14">
        <f t="shared" si="5"/>
        <v>-2.3692227463885125</v>
      </c>
      <c r="U17" s="15">
        <f t="shared" si="6"/>
        <v>1.6350798412310024</v>
      </c>
      <c r="V17" s="15">
        <f t="shared" si="7"/>
        <v>-1.4489951417936853</v>
      </c>
      <c r="W17" s="15">
        <f t="shared" si="8"/>
        <v>7.3669469656291078E-2</v>
      </c>
      <c r="X17" s="16" t="str">
        <f t="shared" si="9"/>
        <v>No significativa</v>
      </c>
    </row>
    <row r="18" spans="1:24" x14ac:dyDescent="0.25">
      <c r="A18" s="13" t="s">
        <v>15</v>
      </c>
      <c r="B18" s="38">
        <v>4.2611746238877384</v>
      </c>
      <c r="C18" s="36">
        <f>0.0044331*100</f>
        <v>0.44330999999999998</v>
      </c>
      <c r="D18" s="38">
        <f>0.0974366*100</f>
        <v>9.7436600000000002</v>
      </c>
      <c r="E18" s="36">
        <f>0.0078744*100</f>
        <v>0.78744000000000003</v>
      </c>
      <c r="F18" s="4"/>
      <c r="G18" s="14">
        <f t="shared" si="0"/>
        <v>5.4824853761122618</v>
      </c>
      <c r="H18" s="15">
        <f t="shared" si="1"/>
        <v>0.90365121020225492</v>
      </c>
      <c r="I18" s="15">
        <f t="shared" si="2"/>
        <v>6.0670370539150538</v>
      </c>
      <c r="J18" s="15">
        <f t="shared" si="3"/>
        <v>6.5145755456796905E-10</v>
      </c>
      <c r="K18" s="16" t="str">
        <f t="shared" si="4"/>
        <v>Significativa</v>
      </c>
      <c r="N18" s="13" t="s">
        <v>15</v>
      </c>
      <c r="O18" s="38">
        <v>8.724239972854015</v>
      </c>
      <c r="P18" s="36">
        <v>0.76763999999999999</v>
      </c>
      <c r="Q18" s="38">
        <f>0.0974366*100</f>
        <v>9.7436600000000002</v>
      </c>
      <c r="R18" s="36">
        <f>0.0078744*100</f>
        <v>0.78744000000000003</v>
      </c>
      <c r="S18" s="4"/>
      <c r="T18" s="14">
        <f t="shared" si="5"/>
        <v>1.0194200271459852</v>
      </c>
      <c r="U18" s="15">
        <f t="shared" si="6"/>
        <v>1.09969674147012</v>
      </c>
      <c r="V18" s="15">
        <f t="shared" si="7"/>
        <v>0.92700104374518966</v>
      </c>
      <c r="W18" s="15">
        <f t="shared" si="8"/>
        <v>0.17696299618251687</v>
      </c>
      <c r="X18" s="16" t="str">
        <f t="shared" si="9"/>
        <v>No significativa</v>
      </c>
    </row>
    <row r="19" spans="1:24" x14ac:dyDescent="0.25">
      <c r="A19" s="13" t="s">
        <v>16</v>
      </c>
      <c r="B19" s="38">
        <v>29.970705322780439</v>
      </c>
      <c r="C19" s="36">
        <f>0.010619*100</f>
        <v>1.0619000000000001</v>
      </c>
      <c r="D19" s="38">
        <f>0.313476*100</f>
        <v>31.347599999999996</v>
      </c>
      <c r="E19" s="36">
        <f>0.0117256*100</f>
        <v>1.1725599999999998</v>
      </c>
      <c r="F19" s="4"/>
      <c r="G19" s="14">
        <f t="shared" si="0"/>
        <v>1.3768946772195569</v>
      </c>
      <c r="H19" s="15">
        <f t="shared" si="1"/>
        <v>1.5819382300203757</v>
      </c>
      <c r="I19" s="15">
        <f t="shared" si="2"/>
        <v>0.87038460231270998</v>
      </c>
      <c r="J19" s="15">
        <f t="shared" si="3"/>
        <v>0.19204512924611838</v>
      </c>
      <c r="K19" s="16" t="str">
        <f t="shared" si="4"/>
        <v>No significativa</v>
      </c>
      <c r="N19" s="13" t="s">
        <v>16</v>
      </c>
      <c r="O19" s="38">
        <v>33.002456267433672</v>
      </c>
      <c r="P19" s="36">
        <v>1.30732</v>
      </c>
      <c r="Q19" s="38">
        <f>0.313476*100</f>
        <v>31.347599999999996</v>
      </c>
      <c r="R19" s="36">
        <f>0.0117256*100</f>
        <v>1.1725599999999998</v>
      </c>
      <c r="S19" s="4"/>
      <c r="T19" s="14">
        <f t="shared" si="5"/>
        <v>-1.6548562674336758</v>
      </c>
      <c r="U19" s="15">
        <f t="shared" si="6"/>
        <v>1.7561271411831205</v>
      </c>
      <c r="V19" s="15">
        <f t="shared" si="7"/>
        <v>-0.942332834921498</v>
      </c>
      <c r="W19" s="15">
        <f t="shared" si="8"/>
        <v>0.17301113121037004</v>
      </c>
      <c r="X19" s="16" t="str">
        <f t="shared" si="9"/>
        <v>No significativa</v>
      </c>
    </row>
    <row r="20" spans="1:24" x14ac:dyDescent="0.25">
      <c r="A20" s="17" t="s">
        <v>17</v>
      </c>
      <c r="B20" s="38"/>
      <c r="C20" s="36"/>
      <c r="D20" s="43"/>
      <c r="E20" s="36"/>
      <c r="F20" s="4"/>
      <c r="G20" s="14"/>
      <c r="H20" s="15"/>
      <c r="I20" s="15"/>
      <c r="J20" s="15"/>
      <c r="K20" s="16"/>
      <c r="N20" s="17" t="s">
        <v>17</v>
      </c>
      <c r="O20" s="38"/>
      <c r="P20" s="36"/>
      <c r="Q20" s="43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38">
        <v>65.768120053331828</v>
      </c>
      <c r="C21" s="36">
        <f>0.0113487*100</f>
        <v>1.13487</v>
      </c>
      <c r="D21" s="38">
        <f>0.589087*100</f>
        <v>58.908700000000003</v>
      </c>
      <c r="E21" s="36">
        <f>0.0137607*100</f>
        <v>1.3760700000000001</v>
      </c>
      <c r="F21" s="4"/>
      <c r="G21" s="14">
        <f>D21-B21</f>
        <v>-6.8594200533318244</v>
      </c>
      <c r="H21" s="15">
        <f>SQRT(E21*E21+C21*C21)</f>
        <v>1.7836755763871412</v>
      </c>
      <c r="I21" s="15">
        <f>G21/H21</f>
        <v>-3.8456657388479085</v>
      </c>
      <c r="J21" s="15">
        <f>IF(I21&gt;0,(1-NORMSDIST(I21)),(NORMSDIST(I21)))</f>
        <v>6.011278316893681E-5</v>
      </c>
      <c r="K21" s="16" t="str">
        <f>IF(J21&lt;0.025,"Significativa","No significativa")</f>
        <v>Significativa</v>
      </c>
      <c r="N21" s="18" t="s">
        <v>18</v>
      </c>
      <c r="O21" s="38">
        <v>58.273303759712313</v>
      </c>
      <c r="P21" s="36">
        <v>1.4989300000000001</v>
      </c>
      <c r="Q21" s="38">
        <f>0.589087*100</f>
        <v>58.908700000000003</v>
      </c>
      <c r="R21" s="36">
        <f>0.0137607*100</f>
        <v>1.3760700000000001</v>
      </c>
      <c r="S21" s="4"/>
      <c r="T21" s="14">
        <f>Q21-O21</f>
        <v>0.63539624028769026</v>
      </c>
      <c r="U21" s="15">
        <f>SQRT(R21*R21+P21*P21)</f>
        <v>2.0347874065366143</v>
      </c>
      <c r="V21" s="15">
        <f>T21/U21</f>
        <v>0.31226664674969173</v>
      </c>
      <c r="W21" s="15">
        <f>IF(V21&gt;0,(1-NORMSDIST(V21)),(NORMSDIST(V21)))</f>
        <v>0.37741894280356525</v>
      </c>
      <c r="X21" s="16" t="str">
        <f>IF(W21&lt;0.025,"Significativa","No significativa")</f>
        <v>No significativa</v>
      </c>
    </row>
    <row r="22" spans="1:24" x14ac:dyDescent="0.25">
      <c r="A22" s="18" t="s">
        <v>19</v>
      </c>
      <c r="B22" s="38">
        <v>18.773595075317012</v>
      </c>
      <c r="C22" s="36">
        <f>0.0097955*100</f>
        <v>0.97955000000000003</v>
      </c>
      <c r="D22" s="38">
        <f>0.135726*100</f>
        <v>13.572600000000001</v>
      </c>
      <c r="E22" s="36">
        <f>0.0121514*100</f>
        <v>1.2151399999999999</v>
      </c>
      <c r="F22" s="4"/>
      <c r="G22" s="14">
        <f>D22-B22</f>
        <v>-5.2009950753170102</v>
      </c>
      <c r="H22" s="15">
        <f>SQRT(E22*E22+C22*C22)</f>
        <v>1.5607957656592997</v>
      </c>
      <c r="I22" s="15">
        <f>G22/H22</f>
        <v>-3.3322713898573686</v>
      </c>
      <c r="J22" s="15">
        <f>IF(I22&gt;0,(1-NORMSDIST(I22)),(NORMSDIST(I22)))</f>
        <v>4.307010482047416E-4</v>
      </c>
      <c r="K22" s="16" t="str">
        <f>IF(J22&lt;0.025,"Significativa","No significativa")</f>
        <v>Significativa</v>
      </c>
      <c r="N22" s="18" t="s">
        <v>19</v>
      </c>
      <c r="O22" s="38">
        <v>12.077611649781529</v>
      </c>
      <c r="P22" s="36">
        <v>1.0826100000000001</v>
      </c>
      <c r="Q22" s="38">
        <f>0.135726*100</f>
        <v>13.572600000000001</v>
      </c>
      <c r="R22" s="36">
        <f>0.0121514*100</f>
        <v>1.2151399999999999</v>
      </c>
      <c r="S22" s="4"/>
      <c r="T22" s="14">
        <f>Q22-O22</f>
        <v>1.4949883502184722</v>
      </c>
      <c r="U22" s="15">
        <f>SQRT(R22*R22+P22*P22)</f>
        <v>1.6274549553520674</v>
      </c>
      <c r="V22" s="15">
        <f>T22/U22</f>
        <v>0.91860505588928043</v>
      </c>
      <c r="W22" s="15">
        <f>IF(V22&gt;0,(1-NORMSDIST(V22)),(NORMSDIST(V22)))</f>
        <v>0.17915109326058243</v>
      </c>
      <c r="X22" s="16" t="str">
        <f>IF(W22&lt;0.025,"Significativa","No significativa")</f>
        <v>No significativa</v>
      </c>
    </row>
    <row r="23" spans="1:24" x14ac:dyDescent="0.25">
      <c r="A23" s="19" t="s">
        <v>20</v>
      </c>
      <c r="B23" s="38"/>
      <c r="C23" s="36"/>
      <c r="D23" s="43"/>
      <c r="E23" s="36"/>
      <c r="F23" s="4"/>
      <c r="G23" s="14"/>
      <c r="H23" s="15"/>
      <c r="I23" s="15"/>
      <c r="J23" s="15"/>
      <c r="K23" s="16"/>
      <c r="N23" s="19" t="s">
        <v>20</v>
      </c>
      <c r="O23" s="38"/>
      <c r="P23" s="36"/>
      <c r="Q23" s="43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38">
        <v>16.142861195427081</v>
      </c>
      <c r="C24" s="36">
        <f>0.0053662*100</f>
        <v>0.53661999999999999</v>
      </c>
      <c r="D24" s="38">
        <f>0.123709*100</f>
        <v>12.370900000000001</v>
      </c>
      <c r="E24" s="36">
        <f>0.0061105*100</f>
        <v>0.61104999999999998</v>
      </c>
      <c r="F24" s="4"/>
      <c r="G24" s="14">
        <f t="shared" ref="G24:G29" si="10">D24-B24</f>
        <v>-3.77196119542708</v>
      </c>
      <c r="H24" s="15">
        <f t="shared" ref="H24:H29" si="11">SQRT(E24*E24+C24*C24)</f>
        <v>0.81323005779422586</v>
      </c>
      <c r="I24" s="15">
        <f t="shared" ref="I24:I29" si="12">G24/H24</f>
        <v>-4.6382461632788186</v>
      </c>
      <c r="J24" s="15">
        <f t="shared" ref="J24:J29" si="13">IF(I24&gt;0,(1-NORMSDIST(I24)),(NORMSDIST(I24)))</f>
        <v>1.7568906804908629E-6</v>
      </c>
      <c r="K24" s="16" t="str">
        <f t="shared" ref="K24:K29" si="14">IF(J24&lt;0.025,"Significativa","No significativa")</f>
        <v>Significativa</v>
      </c>
      <c r="N24" s="20" t="s">
        <v>21</v>
      </c>
      <c r="O24" s="38">
        <v>11.431032968066564</v>
      </c>
      <c r="P24" s="36">
        <v>0.66313999999999995</v>
      </c>
      <c r="Q24" s="38">
        <f>0.123709*100</f>
        <v>12.370900000000001</v>
      </c>
      <c r="R24" s="36">
        <f>0.0061105*100</f>
        <v>0.61104999999999998</v>
      </c>
      <c r="S24" s="4"/>
      <c r="T24" s="14">
        <f t="shared" ref="T24:T29" si="15">Q24-O24</f>
        <v>0.93986703193343679</v>
      </c>
      <c r="U24" s="15">
        <f t="shared" ref="U24:U29" si="16">SQRT(R24*R24+P24*P24)</f>
        <v>0.90174096175121143</v>
      </c>
      <c r="V24" s="15">
        <f t="shared" ref="V24:V29" si="17">T24/U24</f>
        <v>1.0422805126964436</v>
      </c>
      <c r="W24" s="15">
        <f t="shared" ref="W24:W29" si="18">IF(V24&gt;0,(1-NORMSDIST(V24)),(NORMSDIST(V24)))</f>
        <v>0.14864082224459296</v>
      </c>
      <c r="X24" s="16" t="str">
        <f t="shared" ref="X24:X29" si="19">IF(W24&lt;0.025,"Significativa","No significativa")</f>
        <v>No significativa</v>
      </c>
    </row>
    <row r="25" spans="1:24" x14ac:dyDescent="0.25">
      <c r="A25" s="18" t="s">
        <v>22</v>
      </c>
      <c r="B25" s="38">
        <v>22.638033909203521</v>
      </c>
      <c r="C25" s="36">
        <f>0.0089482*100</f>
        <v>0.89481999999999995</v>
      </c>
      <c r="D25" s="38">
        <f>0.200692*100</f>
        <v>20.069200000000002</v>
      </c>
      <c r="E25" s="36">
        <f>0.0082639*100</f>
        <v>0.82638999999999996</v>
      </c>
      <c r="F25" s="4"/>
      <c r="G25" s="14">
        <f t="shared" si="10"/>
        <v>-2.5688339092035193</v>
      </c>
      <c r="H25" s="15">
        <f t="shared" si="11"/>
        <v>1.2180407482921085</v>
      </c>
      <c r="I25" s="15">
        <f t="shared" si="12"/>
        <v>-2.1089884823684617</v>
      </c>
      <c r="J25" s="15">
        <f t="shared" si="13"/>
        <v>1.747278790463393E-2</v>
      </c>
      <c r="K25" s="16" t="str">
        <f t="shared" si="14"/>
        <v>Significativa</v>
      </c>
      <c r="N25" s="18" t="s">
        <v>22</v>
      </c>
      <c r="O25" s="38">
        <v>12.633529536444431</v>
      </c>
      <c r="P25" s="36">
        <v>0.74239999999999995</v>
      </c>
      <c r="Q25" s="38">
        <f>0.200692*100</f>
        <v>20.069200000000002</v>
      </c>
      <c r="R25" s="36">
        <f>0.0082639*100</f>
        <v>0.82638999999999996</v>
      </c>
      <c r="S25" s="4"/>
      <c r="T25" s="14">
        <f t="shared" si="15"/>
        <v>7.4356704635555708</v>
      </c>
      <c r="U25" s="15">
        <f t="shared" si="16"/>
        <v>1.1108907201430751</v>
      </c>
      <c r="V25" s="15">
        <f t="shared" si="17"/>
        <v>6.6934310717780656</v>
      </c>
      <c r="W25" s="15">
        <f t="shared" si="18"/>
        <v>1.0899836588862399E-11</v>
      </c>
      <c r="X25" s="16" t="str">
        <f t="shared" si="19"/>
        <v>Significativa</v>
      </c>
    </row>
    <row r="26" spans="1:24" x14ac:dyDescent="0.25">
      <c r="A26" s="18" t="s">
        <v>23</v>
      </c>
      <c r="B26" s="38">
        <v>48.995829905534592</v>
      </c>
      <c r="C26" s="36">
        <f>0.0114816*100</f>
        <v>1.1481600000000001</v>
      </c>
      <c r="D26" s="38">
        <f>0.396049*100</f>
        <v>39.604900000000001</v>
      </c>
      <c r="E26" s="36">
        <f>0.0119888*100</f>
        <v>1.1988800000000002</v>
      </c>
      <c r="F26" s="4"/>
      <c r="G26" s="14">
        <f t="shared" si="10"/>
        <v>-9.3909299055345912</v>
      </c>
      <c r="H26" s="15">
        <f t="shared" si="11"/>
        <v>1.6599953734875288</v>
      </c>
      <c r="I26" s="15">
        <f t="shared" si="12"/>
        <v>-5.6572024570194639</v>
      </c>
      <c r="J26" s="15">
        <f t="shared" si="13"/>
        <v>7.6930115461802398E-9</v>
      </c>
      <c r="K26" s="16" t="str">
        <f t="shared" si="14"/>
        <v>Significativa</v>
      </c>
      <c r="N26" s="18" t="s">
        <v>23</v>
      </c>
      <c r="O26" s="38">
        <v>40.988803587763798</v>
      </c>
      <c r="P26" s="36">
        <v>1.7222299999999999</v>
      </c>
      <c r="Q26" s="38">
        <f>0.396049*100</f>
        <v>39.604900000000001</v>
      </c>
      <c r="R26" s="36">
        <f>0.0119888*100</f>
        <v>1.1988800000000002</v>
      </c>
      <c r="S26" s="4"/>
      <c r="T26" s="14">
        <f t="shared" si="15"/>
        <v>-1.3839035877637968</v>
      </c>
      <c r="U26" s="15">
        <f t="shared" si="16"/>
        <v>2.098425463841878</v>
      </c>
      <c r="V26" s="15">
        <f t="shared" si="17"/>
        <v>-0.65949618493005369</v>
      </c>
      <c r="W26" s="15">
        <f t="shared" si="18"/>
        <v>0.25478859756397887</v>
      </c>
      <c r="X26" s="16" t="str">
        <f t="shared" si="19"/>
        <v>No significativa</v>
      </c>
    </row>
    <row r="27" spans="1:24" x14ac:dyDescent="0.25">
      <c r="A27" s="18" t="s">
        <v>24</v>
      </c>
      <c r="B27" s="38">
        <v>13.351904910498993</v>
      </c>
      <c r="C27" s="36">
        <f>0.0096154*100</f>
        <v>0.96153999999999995</v>
      </c>
      <c r="D27" s="38">
        <f>0.0857203*100</f>
        <v>8.5720299999999998</v>
      </c>
      <c r="E27" s="36">
        <f>0.0128294*100</f>
        <v>1.28294</v>
      </c>
      <c r="F27" s="4"/>
      <c r="G27" s="14">
        <f t="shared" si="10"/>
        <v>-4.779874910498993</v>
      </c>
      <c r="H27" s="15">
        <f t="shared" si="11"/>
        <v>1.6032760882642765</v>
      </c>
      <c r="I27" s="15">
        <f t="shared" si="12"/>
        <v>-2.9813174072057271</v>
      </c>
      <c r="J27" s="15">
        <f t="shared" si="13"/>
        <v>1.4350557252316948E-3</v>
      </c>
      <c r="K27" s="16" t="str">
        <f t="shared" si="14"/>
        <v>Significativa</v>
      </c>
      <c r="N27" s="18" t="s">
        <v>24</v>
      </c>
      <c r="O27" s="38">
        <v>8.634820211739985</v>
      </c>
      <c r="P27" s="36">
        <v>1.1481399999999999</v>
      </c>
      <c r="Q27" s="38">
        <f>0.0857203*100</f>
        <v>8.5720299999999998</v>
      </c>
      <c r="R27" s="36">
        <f>0.0128294*100</f>
        <v>1.28294</v>
      </c>
      <c r="S27" s="4"/>
      <c r="T27" s="14">
        <f t="shared" si="15"/>
        <v>-6.2790211739985224E-2</v>
      </c>
      <c r="U27" s="15">
        <f t="shared" si="16"/>
        <v>1.7216737505114026</v>
      </c>
      <c r="V27" s="15">
        <f t="shared" si="17"/>
        <v>-3.6470447273378094E-2</v>
      </c>
      <c r="W27" s="15">
        <f t="shared" si="18"/>
        <v>0.48545362134296771</v>
      </c>
      <c r="X27" s="16" t="str">
        <f t="shared" si="19"/>
        <v>No significativa</v>
      </c>
    </row>
    <row r="28" spans="1:24" x14ac:dyDescent="0.25">
      <c r="A28" s="18" t="s">
        <v>25</v>
      </c>
      <c r="B28" s="38">
        <v>12.951046306014961</v>
      </c>
      <c r="C28" s="36">
        <f>0.0138866*100</f>
        <v>1.38866</v>
      </c>
      <c r="D28" s="38">
        <f>0.101196*100</f>
        <v>10.1196</v>
      </c>
      <c r="E28" s="36">
        <f>0.0164663*100</f>
        <v>1.64663</v>
      </c>
      <c r="F28" s="4"/>
      <c r="G28" s="14">
        <f t="shared" si="10"/>
        <v>-2.8314463060149606</v>
      </c>
      <c r="H28" s="15">
        <f t="shared" si="11"/>
        <v>2.154011827381642</v>
      </c>
      <c r="I28" s="15">
        <f t="shared" si="12"/>
        <v>-1.3144989595794325</v>
      </c>
      <c r="J28" s="15">
        <f t="shared" si="13"/>
        <v>9.4339173994825637E-2</v>
      </c>
      <c r="K28" s="16" t="str">
        <f t="shared" si="14"/>
        <v>No significativa</v>
      </c>
      <c r="N28" s="18" t="s">
        <v>25</v>
      </c>
      <c r="O28" s="38">
        <v>10.722957788843301</v>
      </c>
      <c r="P28" s="36">
        <v>1.0345</v>
      </c>
      <c r="Q28" s="38">
        <f>0.101196*100</f>
        <v>10.1196</v>
      </c>
      <c r="R28" s="36">
        <f>0.0164663*100</f>
        <v>1.64663</v>
      </c>
      <c r="S28" s="4"/>
      <c r="T28" s="14">
        <f t="shared" si="15"/>
        <v>-0.60335778884330082</v>
      </c>
      <c r="U28" s="15">
        <f t="shared" si="16"/>
        <v>1.9446286552707177</v>
      </c>
      <c r="V28" s="15">
        <f t="shared" si="17"/>
        <v>-0.31026889746171388</v>
      </c>
      <c r="W28" s="15">
        <f t="shared" si="18"/>
        <v>0.37817824053877608</v>
      </c>
      <c r="X28" s="16" t="str">
        <f t="shared" si="19"/>
        <v>No significativa</v>
      </c>
    </row>
    <row r="29" spans="1:24" x14ac:dyDescent="0.25">
      <c r="A29" s="18" t="s">
        <v>26</v>
      </c>
      <c r="B29" s="38">
        <v>21.233780601968739</v>
      </c>
      <c r="C29" s="36">
        <f>0.011997*100</f>
        <v>1.1997</v>
      </c>
      <c r="D29" s="38">
        <f>0.220954*100</f>
        <v>22.095400000000001</v>
      </c>
      <c r="E29" s="36">
        <f>0.0131681*100</f>
        <v>1.31681</v>
      </c>
      <c r="F29" s="4"/>
      <c r="G29" s="14">
        <f t="shared" si="10"/>
        <v>0.86161939803126231</v>
      </c>
      <c r="H29" s="15">
        <f t="shared" si="11"/>
        <v>1.7813670778646382</v>
      </c>
      <c r="I29" s="15">
        <f t="shared" si="12"/>
        <v>0.48368436171173851</v>
      </c>
      <c r="J29" s="15">
        <f t="shared" si="13"/>
        <v>0.3143049466421719</v>
      </c>
      <c r="K29" s="16" t="str">
        <f t="shared" si="14"/>
        <v>No significativa</v>
      </c>
      <c r="N29" s="18" t="s">
        <v>26</v>
      </c>
      <c r="O29" s="38">
        <v>21.53220009516771</v>
      </c>
      <c r="P29" s="36">
        <v>1.1493800000000001</v>
      </c>
      <c r="Q29" s="38">
        <f>0.220954*100</f>
        <v>22.095400000000001</v>
      </c>
      <c r="R29" s="36">
        <f>0.0131681*100</f>
        <v>1.31681</v>
      </c>
      <c r="S29" s="4"/>
      <c r="T29" s="14">
        <f t="shared" si="15"/>
        <v>0.56319990483229176</v>
      </c>
      <c r="U29" s="15">
        <f t="shared" si="16"/>
        <v>1.7478738399838816</v>
      </c>
      <c r="V29" s="15">
        <f t="shared" si="17"/>
        <v>0.32221999777597532</v>
      </c>
      <c r="W29" s="15">
        <f t="shared" si="18"/>
        <v>0.37364301785327458</v>
      </c>
      <c r="X29" s="16" t="str">
        <f t="shared" si="19"/>
        <v>No significativa</v>
      </c>
    </row>
    <row r="30" spans="1:24" x14ac:dyDescent="0.25">
      <c r="A30" s="8" t="s">
        <v>27</v>
      </c>
      <c r="B30" s="38"/>
      <c r="C30" s="36"/>
      <c r="D30" s="38"/>
      <c r="E30" s="36"/>
      <c r="F30" s="4"/>
      <c r="G30" s="14"/>
      <c r="H30" s="15"/>
      <c r="I30" s="15"/>
      <c r="J30" s="15"/>
      <c r="K30" s="16"/>
      <c r="N30" s="8" t="s">
        <v>27</v>
      </c>
      <c r="O30" s="38"/>
      <c r="P30" s="36"/>
      <c r="Q30" s="38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38">
        <v>7.7862566546575511</v>
      </c>
      <c r="C31" s="36">
        <f>0.0127933*100</f>
        <v>1.2793300000000001</v>
      </c>
      <c r="D31" s="38">
        <f>0.122705*100</f>
        <v>12.2705</v>
      </c>
      <c r="E31" s="36">
        <f>0.0098506*100</f>
        <v>0.98505999999999994</v>
      </c>
      <c r="F31" s="22"/>
      <c r="G31" s="14">
        <f>D31-B31</f>
        <v>4.4842433453424491</v>
      </c>
      <c r="H31" s="15">
        <f>SQRT(((E31^2)+(C31^2)))</f>
        <v>1.6146295093612033</v>
      </c>
      <c r="I31" s="15">
        <f>(D31-B31)/SQRT(((E31^2)+(C31^2)))</f>
        <v>2.7772583861151854</v>
      </c>
      <c r="J31" s="15">
        <f>IF(I31&gt;0,(1-NORMSDIST(I31)),(NORMSDIST(I31)))</f>
        <v>2.7409790177208571E-3</v>
      </c>
      <c r="K31" s="16" t="str">
        <f>IF(J31&lt;0.025,"Significativa","No significativa")</f>
        <v>Significativa</v>
      </c>
      <c r="N31" s="21" t="s">
        <v>28</v>
      </c>
      <c r="O31" s="38">
        <v>8.3642094956731992</v>
      </c>
      <c r="P31" s="36">
        <v>0.73868999999999996</v>
      </c>
      <c r="Q31" s="38">
        <f>0.122705*100</f>
        <v>12.2705</v>
      </c>
      <c r="R31" s="36">
        <f>0.0098506*100</f>
        <v>0.98505999999999994</v>
      </c>
      <c r="S31" s="22"/>
      <c r="T31" s="14">
        <f>Q31-O31</f>
        <v>3.906290504326801</v>
      </c>
      <c r="U31" s="15">
        <f>SQRT(((R31^2)+(P31^2)))</f>
        <v>1.2312620028653527</v>
      </c>
      <c r="V31" s="15">
        <f>(Q31-O31)/SQRT(((R31^2)+(P31^2)))</f>
        <v>3.1725908013373347</v>
      </c>
      <c r="W31" s="15">
        <f>IF(V31&gt;0,(1-NORMSDIST(V31)),(NORMSDIST(V31)))</f>
        <v>7.5542652819227118E-4</v>
      </c>
      <c r="X31" s="16" t="str">
        <f>IF(W31&lt;0.025,"Significativa","No significativa")</f>
        <v>Significativa</v>
      </c>
    </row>
    <row r="32" spans="1:24" ht="15.75" thickBot="1" x14ac:dyDescent="0.3">
      <c r="A32" s="23" t="s">
        <v>29</v>
      </c>
      <c r="B32" s="35">
        <v>31.37813584484601</v>
      </c>
      <c r="C32" s="33">
        <f>0.0077878*100</f>
        <v>0.77878000000000003</v>
      </c>
      <c r="D32" s="42">
        <f>0.409338*100</f>
        <v>40.933799999999998</v>
      </c>
      <c r="E32" s="33">
        <f>0.0133378*100</f>
        <v>1.33378</v>
      </c>
      <c r="F32" s="24"/>
      <c r="G32" s="32">
        <f>D32-B32</f>
        <v>9.5556641551539876</v>
      </c>
      <c r="H32" s="25">
        <f>SQRT(((E32^2)+(C32^2)))</f>
        <v>1.5444958325615517</v>
      </c>
      <c r="I32" s="25">
        <f>(D32-B32)/SQRT(((E32^2)+(C32^2)))</f>
        <v>6.1869148195148487</v>
      </c>
      <c r="J32" s="25">
        <f>IF(I32&gt;0,(1-NORMSDIST(I32)),(NORMSDIST(I32)))</f>
        <v>3.0676550188957208E-10</v>
      </c>
      <c r="K32" s="26" t="str">
        <f>IF(J32&lt;0.025,"Significativa","No significativa")</f>
        <v>Significativa</v>
      </c>
      <c r="N32" s="23" t="s">
        <v>29</v>
      </c>
      <c r="O32" s="35">
        <v>36.909720986177817</v>
      </c>
      <c r="P32" s="33">
        <v>1.5134699999999999</v>
      </c>
      <c r="Q32" s="42">
        <f>0.409338*100</f>
        <v>40.933799999999998</v>
      </c>
      <c r="R32" s="33">
        <f>0.0133378*100</f>
        <v>1.33378</v>
      </c>
      <c r="S32" s="24"/>
      <c r="T32" s="32">
        <f>Q32-O32</f>
        <v>4.0240790138221811</v>
      </c>
      <c r="U32" s="25">
        <f>SQRT(((R32^2)+(P32^2)))</f>
        <v>2.0173151784736065</v>
      </c>
      <c r="V32" s="25">
        <f>(Q32-O32)/SQRT(((R32^2)+(P32^2)))</f>
        <v>1.9947696109970205</v>
      </c>
      <c r="W32" s="25">
        <f>IF(V32&gt;0,(1-NORMSDIST(V32)),(NORMSDIST(V32)))</f>
        <v>2.303400660097088E-2</v>
      </c>
      <c r="X32" s="26" t="str">
        <f>IF(W32&lt;0.025,"Significativa","No significativa")</f>
        <v>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9:X9"/>
    <mergeCell ref="A10:K10"/>
    <mergeCell ref="N10:X10"/>
    <mergeCell ref="A11:A12"/>
    <mergeCell ref="B11:C11"/>
    <mergeCell ref="D11:E11"/>
    <mergeCell ref="I11:I12"/>
    <mergeCell ref="J11:J12"/>
    <mergeCell ref="X11:X12"/>
    <mergeCell ref="G12:H12"/>
    <mergeCell ref="T12:U12"/>
    <mergeCell ref="K11:K12"/>
    <mergeCell ref="N11:N12"/>
    <mergeCell ref="O11:P11"/>
    <mergeCell ref="Q11:R11"/>
    <mergeCell ref="V11:V12"/>
    <mergeCell ref="W11:W1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3071-EBC4-4734-9094-E84874533FAC}">
  <dimension ref="A4:X34"/>
  <sheetViews>
    <sheetView workbookViewId="0">
      <selection activeCell="N39" sqref="N39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53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52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38">
        <v>53.824434736829708</v>
      </c>
      <c r="C14" s="36">
        <f>0.017345*100</f>
        <v>1.7344999999999999</v>
      </c>
      <c r="D14" s="45">
        <f>0.52965*100</f>
        <v>52.964999999999996</v>
      </c>
      <c r="E14" s="36">
        <f>0.014692*100</f>
        <v>1.4692000000000001</v>
      </c>
      <c r="F14" s="4"/>
      <c r="G14" s="14">
        <f t="shared" ref="G14:G19" si="0">D14-B14</f>
        <v>-0.85943473682971216</v>
      </c>
      <c r="H14" s="15">
        <f t="shared" ref="H14:H19" si="1">SQRT(E14*E14+C14*C14)</f>
        <v>2.2731121595733019</v>
      </c>
      <c r="I14" s="15">
        <f t="shared" ref="I14:I19" si="2">G14/H14</f>
        <v>-0.37808725504818086</v>
      </c>
      <c r="J14" s="15">
        <f t="shared" ref="J14:J19" si="3">IF(I14&gt;0,(1-NORMSDIST(I14)),(NORMSDIST(I14)))</f>
        <v>0.35268288791553293</v>
      </c>
      <c r="K14" s="16" t="str">
        <f t="shared" ref="K14:K19" si="4">IF(J14&lt;0.025,"Significativa","No significativa")</f>
        <v>No significativa</v>
      </c>
      <c r="N14" s="13" t="s">
        <v>11</v>
      </c>
      <c r="O14" s="38">
        <v>53.646294296110099</v>
      </c>
      <c r="P14" s="36">
        <v>1.79128</v>
      </c>
      <c r="Q14" s="45">
        <f>0.52965*100</f>
        <v>52.964999999999996</v>
      </c>
      <c r="R14" s="36">
        <f>0.014692*100</f>
        <v>1.4692000000000001</v>
      </c>
      <c r="S14" s="4"/>
      <c r="T14" s="14">
        <f t="shared" ref="T14:T19" si="5">Q14-O14</f>
        <v>-0.68129429611010295</v>
      </c>
      <c r="U14" s="15">
        <f t="shared" ref="U14:U19" si="6">SQRT(R14*R14+P14*P14)</f>
        <v>2.3167288745988386</v>
      </c>
      <c r="V14" s="15">
        <f t="shared" ref="V14:V19" si="7">T14/U14</f>
        <v>-0.29407597219509551</v>
      </c>
      <c r="W14" s="15">
        <f t="shared" ref="W14:W19" si="8">IF(V14&gt;0,(1-NORMSDIST(V14)),(NORMSDIST(V14)))</f>
        <v>0.38434992546124908</v>
      </c>
      <c r="X14" s="16" t="str">
        <f t="shared" ref="X14:X19" si="9">IF(W14&lt;0.025,"Significativa","No significativa")</f>
        <v>No significativa</v>
      </c>
    </row>
    <row r="15" spans="1:24" x14ac:dyDescent="0.25">
      <c r="A15" s="13" t="s">
        <v>12</v>
      </c>
      <c r="B15" s="38">
        <v>38.035349732376105</v>
      </c>
      <c r="C15" s="36">
        <f>0.0157429*100</f>
        <v>1.57429</v>
      </c>
      <c r="D15" s="44">
        <f>0.389408*100</f>
        <v>38.940799999999996</v>
      </c>
      <c r="E15" s="36">
        <f>0.0121694*100</f>
        <v>1.2169400000000001</v>
      </c>
      <c r="F15" s="4"/>
      <c r="G15" s="14">
        <f t="shared" si="0"/>
        <v>0.90545026762389114</v>
      </c>
      <c r="H15" s="15">
        <f t="shared" si="1"/>
        <v>1.9898070177029732</v>
      </c>
      <c r="I15" s="15">
        <f t="shared" si="2"/>
        <v>0.45504426286984351</v>
      </c>
      <c r="J15" s="15">
        <f t="shared" si="3"/>
        <v>0.32453869768433163</v>
      </c>
      <c r="K15" s="16" t="str">
        <f t="shared" si="4"/>
        <v>No significativa</v>
      </c>
      <c r="N15" s="13" t="s">
        <v>12</v>
      </c>
      <c r="O15" s="38">
        <v>41.35407549000724</v>
      </c>
      <c r="P15" s="36">
        <v>1.6270500000000001</v>
      </c>
      <c r="Q15" s="44">
        <f>0.389408*100</f>
        <v>38.940799999999996</v>
      </c>
      <c r="R15" s="36">
        <f>0.0121694*100</f>
        <v>1.2169400000000001</v>
      </c>
      <c r="S15" s="4"/>
      <c r="T15" s="14">
        <f t="shared" si="5"/>
        <v>-2.4132754900072442</v>
      </c>
      <c r="U15" s="15">
        <f t="shared" si="6"/>
        <v>2.0318057648554895</v>
      </c>
      <c r="V15" s="15">
        <f t="shared" si="7"/>
        <v>-1.1877491105449671</v>
      </c>
      <c r="W15" s="15">
        <f t="shared" si="8"/>
        <v>0.1174661345214217</v>
      </c>
      <c r="X15" s="16" t="str">
        <f t="shared" si="9"/>
        <v>No significativa</v>
      </c>
    </row>
    <row r="16" spans="1:24" x14ac:dyDescent="0.25">
      <c r="A16" s="13" t="s">
        <v>13</v>
      </c>
      <c r="B16" s="38">
        <v>15.789085004453602</v>
      </c>
      <c r="C16" s="36">
        <f>0.0133601*100</f>
        <v>1.3360099999999999</v>
      </c>
      <c r="D16" s="44">
        <f>0.140242*100</f>
        <v>14.0242</v>
      </c>
      <c r="E16" s="36">
        <f>0.0127158*100</f>
        <v>1.2715799999999999</v>
      </c>
      <c r="F16" s="4"/>
      <c r="G16" s="14">
        <f t="shared" si="0"/>
        <v>-1.7648850044536015</v>
      </c>
      <c r="H16" s="15">
        <f t="shared" si="1"/>
        <v>1.8444073347555305</v>
      </c>
      <c r="I16" s="15">
        <f t="shared" si="2"/>
        <v>-0.95688461610218578</v>
      </c>
      <c r="J16" s="15">
        <f t="shared" si="3"/>
        <v>0.16931274842818134</v>
      </c>
      <c r="K16" s="16" t="str">
        <f t="shared" si="4"/>
        <v>No significativa</v>
      </c>
      <c r="N16" s="13" t="s">
        <v>13</v>
      </c>
      <c r="O16" s="38">
        <v>12.292218806102854</v>
      </c>
      <c r="P16" s="36">
        <v>0.95177</v>
      </c>
      <c r="Q16" s="44">
        <f>0.140242*100</f>
        <v>14.0242</v>
      </c>
      <c r="R16" s="36">
        <f>0.0127158*100</f>
        <v>1.2715799999999999</v>
      </c>
      <c r="S16" s="4"/>
      <c r="T16" s="14">
        <f t="shared" si="5"/>
        <v>1.7319811938971466</v>
      </c>
      <c r="U16" s="15">
        <f t="shared" si="6"/>
        <v>1.5883267388355582</v>
      </c>
      <c r="V16" s="15">
        <f t="shared" si="7"/>
        <v>1.0904438939099552</v>
      </c>
      <c r="W16" s="15">
        <f t="shared" si="8"/>
        <v>0.13775882770967873</v>
      </c>
      <c r="X16" s="16" t="str">
        <f t="shared" si="9"/>
        <v>No significativa</v>
      </c>
    </row>
    <row r="17" spans="1:24" x14ac:dyDescent="0.25">
      <c r="A17" s="13" t="s">
        <v>14</v>
      </c>
      <c r="B17" s="38">
        <v>33.758577601868787</v>
      </c>
      <c r="C17" s="36">
        <f>0.0180119*100</f>
        <v>1.8011900000000001</v>
      </c>
      <c r="D17" s="44">
        <f>0.309762*100</f>
        <v>30.976199999999999</v>
      </c>
      <c r="E17" s="36">
        <f>0.0107979*100</f>
        <v>1.07979</v>
      </c>
      <c r="F17" s="4"/>
      <c r="G17" s="14">
        <f t="shared" si="0"/>
        <v>-2.782377601868788</v>
      </c>
      <c r="H17" s="15">
        <f t="shared" si="1"/>
        <v>2.1000552040839309</v>
      </c>
      <c r="I17" s="15">
        <f t="shared" si="2"/>
        <v>-1.3249068864751554</v>
      </c>
      <c r="J17" s="15">
        <f t="shared" si="3"/>
        <v>9.260101825950437E-2</v>
      </c>
      <c r="K17" s="16" t="str">
        <f t="shared" si="4"/>
        <v>No significativa</v>
      </c>
      <c r="N17" s="13" t="s">
        <v>14</v>
      </c>
      <c r="O17" s="38">
        <v>33.392661655455242</v>
      </c>
      <c r="P17" s="36">
        <v>1.6080099999999999</v>
      </c>
      <c r="Q17" s="44">
        <f>0.309762*100</f>
        <v>30.976199999999999</v>
      </c>
      <c r="R17" s="36">
        <f>0.0107979*100</f>
        <v>1.07979</v>
      </c>
      <c r="S17" s="4"/>
      <c r="T17" s="14">
        <f t="shared" si="5"/>
        <v>-2.4164616554552438</v>
      </c>
      <c r="U17" s="15">
        <f t="shared" si="6"/>
        <v>1.9369157452506807</v>
      </c>
      <c r="V17" s="15">
        <f t="shared" si="7"/>
        <v>-1.247582225184761</v>
      </c>
      <c r="W17" s="15">
        <f t="shared" si="8"/>
        <v>0.10609204557951457</v>
      </c>
      <c r="X17" s="16" t="str">
        <f t="shared" si="9"/>
        <v>No significativa</v>
      </c>
    </row>
    <row r="18" spans="1:24" x14ac:dyDescent="0.25">
      <c r="A18" s="13" t="s">
        <v>15</v>
      </c>
      <c r="B18" s="38">
        <v>2.7906825020999437</v>
      </c>
      <c r="C18" s="36">
        <f>0.0037581*100</f>
        <v>0.37580999999999998</v>
      </c>
      <c r="D18" s="44">
        <f>0.0381364*100</f>
        <v>3.8136399999999999</v>
      </c>
      <c r="E18" s="36">
        <f>0.0051667*100</f>
        <v>0.51666999999999996</v>
      </c>
      <c r="F18" s="4"/>
      <c r="G18" s="14">
        <f t="shared" si="0"/>
        <v>1.0229574979000562</v>
      </c>
      <c r="H18" s="15">
        <f t="shared" si="1"/>
        <v>0.63889047965985524</v>
      </c>
      <c r="I18" s="15">
        <f t="shared" si="2"/>
        <v>1.6011468795789192</v>
      </c>
      <c r="J18" s="15">
        <f t="shared" si="3"/>
        <v>5.4672195534123613E-2</v>
      </c>
      <c r="K18" s="16" t="str">
        <f t="shared" si="4"/>
        <v>No significativa</v>
      </c>
      <c r="N18" s="13" t="s">
        <v>15</v>
      </c>
      <c r="O18" s="39">
        <v>2.5253140947026309</v>
      </c>
      <c r="P18" s="36">
        <v>0.38568999999999998</v>
      </c>
      <c r="Q18" s="44">
        <f>0.0381364*100</f>
        <v>3.8136399999999999</v>
      </c>
      <c r="R18" s="36">
        <f>0.0051667*100</f>
        <v>0.51666999999999996</v>
      </c>
      <c r="S18" s="4"/>
      <c r="T18" s="14">
        <f t="shared" si="5"/>
        <v>1.288325905297369</v>
      </c>
      <c r="U18" s="15">
        <f t="shared" si="6"/>
        <v>0.64475163047486739</v>
      </c>
      <c r="V18" s="15">
        <f t="shared" si="7"/>
        <v>1.9981739392399851</v>
      </c>
      <c r="W18" s="15">
        <f t="shared" si="8"/>
        <v>2.2848902930713955E-2</v>
      </c>
      <c r="X18" s="16" t="str">
        <f t="shared" si="9"/>
        <v>Significativa</v>
      </c>
    </row>
    <row r="19" spans="1:24" x14ac:dyDescent="0.25">
      <c r="A19" s="13" t="s">
        <v>16</v>
      </c>
      <c r="B19" s="38">
        <v>9.6263051592015589</v>
      </c>
      <c r="C19" s="36">
        <f>0.0064619*100</f>
        <v>0.64618999999999993</v>
      </c>
      <c r="D19" s="44">
        <f>0.122451*100</f>
        <v>12.245100000000001</v>
      </c>
      <c r="E19" s="36">
        <f>0.0083422*100</f>
        <v>0.83421999999999996</v>
      </c>
      <c r="F19" s="4"/>
      <c r="G19" s="14">
        <f t="shared" si="0"/>
        <v>2.6187948407984418</v>
      </c>
      <c r="H19" s="15">
        <f t="shared" si="1"/>
        <v>1.0552177616492247</v>
      </c>
      <c r="I19" s="15">
        <f t="shared" si="2"/>
        <v>2.4817577337832768</v>
      </c>
      <c r="J19" s="15">
        <f t="shared" si="3"/>
        <v>6.5368063564552603E-3</v>
      </c>
      <c r="K19" s="16" t="str">
        <f t="shared" si="4"/>
        <v>Significativa</v>
      </c>
      <c r="N19" s="13" t="s">
        <v>16</v>
      </c>
      <c r="O19" s="38">
        <v>10.435729953732036</v>
      </c>
      <c r="P19" s="36">
        <v>0.74786999999999992</v>
      </c>
      <c r="Q19" s="44">
        <f>0.122451*100</f>
        <v>12.245100000000001</v>
      </c>
      <c r="R19" s="36">
        <f>0.0083422*100</f>
        <v>0.83421999999999996</v>
      </c>
      <c r="S19" s="4"/>
      <c r="T19" s="14">
        <f t="shared" si="5"/>
        <v>1.8093700462679649</v>
      </c>
      <c r="U19" s="15">
        <f t="shared" si="6"/>
        <v>1.1203716103597054</v>
      </c>
      <c r="V19" s="15">
        <f t="shared" si="7"/>
        <v>1.6149731299305685</v>
      </c>
      <c r="W19" s="15">
        <f t="shared" si="8"/>
        <v>5.3158256942980708E-2</v>
      </c>
      <c r="X19" s="16" t="str">
        <f t="shared" si="9"/>
        <v>No significativa</v>
      </c>
    </row>
    <row r="20" spans="1:24" x14ac:dyDescent="0.25">
      <c r="A20" s="17" t="s">
        <v>17</v>
      </c>
      <c r="B20" s="38"/>
      <c r="C20" s="36"/>
      <c r="D20" s="44"/>
      <c r="E20" s="36"/>
      <c r="F20" s="4"/>
      <c r="G20" s="14"/>
      <c r="H20" s="15"/>
      <c r="I20" s="15"/>
      <c r="J20" s="15"/>
      <c r="K20" s="16"/>
      <c r="N20" s="17" t="s">
        <v>17</v>
      </c>
      <c r="O20" s="38"/>
      <c r="P20" s="36"/>
      <c r="Q20" s="44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38">
        <v>87.583012338698495</v>
      </c>
      <c r="C21" s="36">
        <f>0.0076846*100</f>
        <v>0.76845999999999992</v>
      </c>
      <c r="D21" s="44">
        <f>0.839412*100</f>
        <v>83.941200000000009</v>
      </c>
      <c r="E21" s="36">
        <f>0.0095089*100</f>
        <v>0.95089000000000001</v>
      </c>
      <c r="F21" s="4"/>
      <c r="G21" s="14">
        <f>D21-B21</f>
        <v>-3.641812338698486</v>
      </c>
      <c r="H21" s="15">
        <f>SQRT(E21*E21+C21*C21)</f>
        <v>1.2225884686598347</v>
      </c>
      <c r="I21" s="15">
        <f>G21/H21</f>
        <v>-2.9787720333159471</v>
      </c>
      <c r="J21" s="15">
        <f>IF(I21&gt;0,(1-NORMSDIST(I21)),(NORMSDIST(I21)))</f>
        <v>1.4470300308604524E-3</v>
      </c>
      <c r="K21" s="16" t="str">
        <f>IF(J21&lt;0.025,"Significativa","No significativa")</f>
        <v>Significativa</v>
      </c>
      <c r="N21" s="18" t="s">
        <v>18</v>
      </c>
      <c r="O21" s="38">
        <v>87.038955951565327</v>
      </c>
      <c r="P21" s="36">
        <v>0.80928000000000011</v>
      </c>
      <c r="Q21" s="44">
        <f>0.839412*100</f>
        <v>83.941200000000009</v>
      </c>
      <c r="R21" s="36">
        <f>0.0095089*100</f>
        <v>0.95089000000000001</v>
      </c>
      <c r="S21" s="4"/>
      <c r="T21" s="14">
        <f>Q21-O21</f>
        <v>-3.0977559515653184</v>
      </c>
      <c r="U21" s="15">
        <f>SQRT(R21*R21+P21*P21)</f>
        <v>1.2486496348055367</v>
      </c>
      <c r="V21" s="15">
        <f>T21/U21</f>
        <v>-2.4808848416856017</v>
      </c>
      <c r="W21" s="15">
        <f>IF(V21&gt;0,(1-NORMSDIST(V21)),(NORMSDIST(V21)))</f>
        <v>6.5528352976471785E-3</v>
      </c>
      <c r="X21" s="16" t="str">
        <f>IF(W21&lt;0.025,"Significativa","No significativa")</f>
        <v>Significativa</v>
      </c>
    </row>
    <row r="22" spans="1:24" x14ac:dyDescent="0.25">
      <c r="A22" s="18" t="s">
        <v>19</v>
      </c>
      <c r="B22" s="38">
        <v>37.426615235035129</v>
      </c>
      <c r="C22" s="36">
        <f>0.0169722*100</f>
        <v>1.69722</v>
      </c>
      <c r="D22" s="44">
        <f>0.368607*100</f>
        <v>36.860700000000001</v>
      </c>
      <c r="E22" s="36">
        <f>0.0159098*100</f>
        <v>1.5909800000000001</v>
      </c>
      <c r="F22" s="4"/>
      <c r="G22" s="14">
        <f>D22-B22</f>
        <v>-0.56591523503512775</v>
      </c>
      <c r="H22" s="15">
        <f>SQRT(E22*E22+C22*C22)</f>
        <v>2.3263217939055636</v>
      </c>
      <c r="I22" s="15">
        <f>G22/H22</f>
        <v>-0.24326610210061975</v>
      </c>
      <c r="J22" s="15">
        <f>IF(I22&gt;0,(1-NORMSDIST(I22)),(NORMSDIST(I22)))</f>
        <v>0.40389963116562344</v>
      </c>
      <c r="K22" s="16" t="str">
        <f>IF(J22&lt;0.025,"Significativa","No significativa")</f>
        <v>No significativa</v>
      </c>
      <c r="N22" s="18" t="s">
        <v>19</v>
      </c>
      <c r="O22" s="38">
        <v>37.158344040876401</v>
      </c>
      <c r="P22" s="36">
        <v>1.3096300000000001</v>
      </c>
      <c r="Q22" s="44">
        <f>0.368607*100</f>
        <v>36.860700000000001</v>
      </c>
      <c r="R22" s="36">
        <f>0.0159098*100</f>
        <v>1.5909800000000001</v>
      </c>
      <c r="S22" s="4"/>
      <c r="T22" s="14">
        <f>Q22-O22</f>
        <v>-0.29764404087639917</v>
      </c>
      <c r="U22" s="15">
        <f>SQRT(R22*R22+P22*P22)</f>
        <v>2.0606669059554483</v>
      </c>
      <c r="V22" s="15">
        <f>T22/U22</f>
        <v>-0.14444063716275077</v>
      </c>
      <c r="W22" s="15">
        <f>IF(V22&gt;0,(1-NORMSDIST(V22)),(NORMSDIST(V22)))</f>
        <v>0.44257626471127964</v>
      </c>
      <c r="X22" s="16" t="str">
        <f>IF(W22&lt;0.025,"Significativa","No significativa")</f>
        <v>No significativa</v>
      </c>
    </row>
    <row r="23" spans="1:24" x14ac:dyDescent="0.25">
      <c r="A23" s="19" t="s">
        <v>20</v>
      </c>
      <c r="B23" s="38"/>
      <c r="C23" s="36"/>
      <c r="D23" s="44"/>
      <c r="E23" s="36"/>
      <c r="F23" s="4"/>
      <c r="G23" s="14"/>
      <c r="H23" s="15"/>
      <c r="I23" s="15"/>
      <c r="J23" s="15"/>
      <c r="K23" s="16"/>
      <c r="N23" s="19" t="s">
        <v>20</v>
      </c>
      <c r="O23" s="38"/>
      <c r="P23" s="36"/>
      <c r="Q23" s="44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38">
        <v>21.498893168817354</v>
      </c>
      <c r="C24" s="36">
        <f>0.0082237*100</f>
        <v>0.82237000000000005</v>
      </c>
      <c r="D24" s="44">
        <f>0.145504*100</f>
        <v>14.5504</v>
      </c>
      <c r="E24" s="36">
        <f>0.0071911*100</f>
        <v>0.71911000000000003</v>
      </c>
      <c r="F24" s="4"/>
      <c r="G24" s="14">
        <f t="shared" ref="G24:G29" si="10">D24-B24</f>
        <v>-6.9484931688173539</v>
      </c>
      <c r="H24" s="15">
        <f t="shared" ref="H24:H29" si="11">SQRT(E24*E24+C24*C24)</f>
        <v>1.0924338007403469</v>
      </c>
      <c r="I24" s="15">
        <f t="shared" ref="I24:I29" si="12">G24/H24</f>
        <v>-6.3605622273023146</v>
      </c>
      <c r="J24" s="15">
        <f t="shared" ref="J24:J29" si="13">IF(I24&gt;0,(1-NORMSDIST(I24)),(NORMSDIST(I24)))</f>
        <v>1.0050829896255071E-10</v>
      </c>
      <c r="K24" s="16" t="str">
        <f t="shared" ref="K24:K29" si="14">IF(J24&lt;0.025,"Significativa","No significativa")</f>
        <v>Significativa</v>
      </c>
      <c r="N24" s="20" t="s">
        <v>21</v>
      </c>
      <c r="O24" s="38">
        <v>16.451418637707942</v>
      </c>
      <c r="P24" s="36">
        <v>0.69706000000000001</v>
      </c>
      <c r="Q24" s="44">
        <f>0.145504*100</f>
        <v>14.5504</v>
      </c>
      <c r="R24" s="36">
        <f>0.0071911*100</f>
        <v>0.71911000000000003</v>
      </c>
      <c r="S24" s="4"/>
      <c r="T24" s="14">
        <f t="shared" ref="T24:T29" si="15">Q24-O24</f>
        <v>-1.9010186377079421</v>
      </c>
      <c r="U24" s="15">
        <f t="shared" ref="U24:U29" si="16">SQRT(R24*R24+P24*P24)</f>
        <v>1.0015047856600585</v>
      </c>
      <c r="V24" s="15">
        <f t="shared" ref="V24:V29" si="17">T24/U24</f>
        <v>-1.8981623102829648</v>
      </c>
      <c r="W24" s="15">
        <f t="shared" ref="W24:W29" si="18">IF(V24&gt;0,(1-NORMSDIST(V24)),(NORMSDIST(V24)))</f>
        <v>2.8837352013090838E-2</v>
      </c>
      <c r="X24" s="16" t="str">
        <f t="shared" ref="X24:X29" si="19">IF(W24&lt;0.025,"Significativa","No significativa")</f>
        <v>No significativa</v>
      </c>
    </row>
    <row r="25" spans="1:24" x14ac:dyDescent="0.25">
      <c r="A25" s="18" t="s">
        <v>22</v>
      </c>
      <c r="B25" s="38">
        <v>25.633539657901721</v>
      </c>
      <c r="C25" s="36">
        <f>0.0132504*100</f>
        <v>1.32504</v>
      </c>
      <c r="D25" s="44">
        <f>0.269976*100</f>
        <v>26.997599999999998</v>
      </c>
      <c r="E25" s="36">
        <f>0.0111129*100</f>
        <v>1.1112900000000001</v>
      </c>
      <c r="F25" s="4"/>
      <c r="G25" s="14">
        <f t="shared" si="10"/>
        <v>1.3640603420982771</v>
      </c>
      <c r="H25" s="15">
        <f t="shared" si="11"/>
        <v>1.7293630231099542</v>
      </c>
      <c r="I25" s="15">
        <f t="shared" si="12"/>
        <v>0.7887646051580629</v>
      </c>
      <c r="J25" s="15">
        <f t="shared" si="13"/>
        <v>0.21512480012638213</v>
      </c>
      <c r="K25" s="16" t="str">
        <f t="shared" si="14"/>
        <v>No significativa</v>
      </c>
      <c r="N25" s="18" t="s">
        <v>22</v>
      </c>
      <c r="O25" s="38">
        <v>12.64806683132308</v>
      </c>
      <c r="P25" s="36">
        <v>0.72931999999999997</v>
      </c>
      <c r="Q25" s="44">
        <f>0.269976*100</f>
        <v>26.997599999999998</v>
      </c>
      <c r="R25" s="36">
        <f>0.0111129*100</f>
        <v>1.1112900000000001</v>
      </c>
      <c r="S25" s="4"/>
      <c r="T25" s="14">
        <f t="shared" si="15"/>
        <v>14.349533168676919</v>
      </c>
      <c r="U25" s="15">
        <f t="shared" si="16"/>
        <v>1.3292377990788555</v>
      </c>
      <c r="V25" s="15">
        <f t="shared" si="17"/>
        <v>10.795309295764053</v>
      </c>
      <c r="W25" s="15">
        <f t="shared" si="18"/>
        <v>0</v>
      </c>
      <c r="X25" s="16" t="str">
        <f t="shared" si="19"/>
        <v>Significativa</v>
      </c>
    </row>
    <row r="26" spans="1:24" x14ac:dyDescent="0.25">
      <c r="A26" s="18" t="s">
        <v>23</v>
      </c>
      <c r="B26" s="38">
        <v>77.552394388914109</v>
      </c>
      <c r="C26" s="36">
        <f>0.0118209*100</f>
        <v>1.1820900000000001</v>
      </c>
      <c r="D26" s="38">
        <f>0.663677*100</f>
        <v>66.367699999999999</v>
      </c>
      <c r="E26" s="36">
        <f>0.0138731*100</f>
        <v>1.3873099999999998</v>
      </c>
      <c r="F26" s="4"/>
      <c r="G26" s="14">
        <f t="shared" si="10"/>
        <v>-11.18469438891411</v>
      </c>
      <c r="H26" s="15">
        <f t="shared" si="11"/>
        <v>1.8226260736091755</v>
      </c>
      <c r="I26" s="15">
        <f t="shared" si="12"/>
        <v>-6.1365820180362665</v>
      </c>
      <c r="J26" s="15">
        <f t="shared" si="13"/>
        <v>4.2157921218153119E-10</v>
      </c>
      <c r="K26" s="16" t="str">
        <f t="shared" si="14"/>
        <v>Significativa</v>
      </c>
      <c r="N26" s="18" t="s">
        <v>23</v>
      </c>
      <c r="O26" s="38">
        <v>69.054306545376818</v>
      </c>
      <c r="P26" s="36">
        <v>1.0644499999999999</v>
      </c>
      <c r="Q26" s="38">
        <f>0.663677*100</f>
        <v>66.367699999999999</v>
      </c>
      <c r="R26" s="36">
        <f>0.0138731*100</f>
        <v>1.3873099999999998</v>
      </c>
      <c r="S26" s="4"/>
      <c r="T26" s="14">
        <f t="shared" si="15"/>
        <v>-2.6866065453768186</v>
      </c>
      <c r="U26" s="15">
        <f t="shared" si="16"/>
        <v>1.748623126519834</v>
      </c>
      <c r="V26" s="15">
        <f t="shared" si="17"/>
        <v>-1.5364125663394315</v>
      </c>
      <c r="W26" s="15">
        <f t="shared" si="18"/>
        <v>6.2218613340338021E-2</v>
      </c>
      <c r="X26" s="16" t="str">
        <f t="shared" si="19"/>
        <v>No significativa</v>
      </c>
    </row>
    <row r="27" spans="1:24" x14ac:dyDescent="0.25">
      <c r="A27" s="18" t="s">
        <v>24</v>
      </c>
      <c r="B27" s="38">
        <v>17.390343067829768</v>
      </c>
      <c r="C27" s="36">
        <f>0.0121668*100</f>
        <v>1.21668</v>
      </c>
      <c r="D27" s="38">
        <f>0.0953193*100</f>
        <v>9.5319299999999991</v>
      </c>
      <c r="E27" s="36">
        <f>0.0088402*100</f>
        <v>0.88401999999999992</v>
      </c>
      <c r="F27" s="4"/>
      <c r="G27" s="14">
        <f t="shared" si="10"/>
        <v>-7.858413067829769</v>
      </c>
      <c r="H27" s="15">
        <f t="shared" si="11"/>
        <v>1.5039287159968719</v>
      </c>
      <c r="I27" s="15">
        <f t="shared" si="12"/>
        <v>-5.2252563464225483</v>
      </c>
      <c r="J27" s="15">
        <f t="shared" si="13"/>
        <v>8.6956998163749371E-8</v>
      </c>
      <c r="K27" s="16" t="str">
        <f t="shared" si="14"/>
        <v>Significativa</v>
      </c>
      <c r="N27" s="18" t="s">
        <v>24</v>
      </c>
      <c r="O27" s="38">
        <v>12.281816031812983</v>
      </c>
      <c r="P27" s="36">
        <v>1.26447</v>
      </c>
      <c r="Q27" s="38">
        <f>0.0953193*100</f>
        <v>9.5319299999999991</v>
      </c>
      <c r="R27" s="36">
        <f>0.0088402*100</f>
        <v>0.88401999999999992</v>
      </c>
      <c r="S27" s="4"/>
      <c r="T27" s="14">
        <f t="shared" si="15"/>
        <v>-2.7498860318129843</v>
      </c>
      <c r="U27" s="15">
        <f t="shared" si="16"/>
        <v>1.5428466357029786</v>
      </c>
      <c r="V27" s="15">
        <f t="shared" si="17"/>
        <v>-1.7823456772552337</v>
      </c>
      <c r="W27" s="15">
        <f t="shared" si="18"/>
        <v>3.7346439121194251E-2</v>
      </c>
      <c r="X27" s="16" t="str">
        <f t="shared" si="19"/>
        <v>No significativa</v>
      </c>
    </row>
    <row r="28" spans="1:24" x14ac:dyDescent="0.25">
      <c r="A28" s="18" t="s">
        <v>25</v>
      </c>
      <c r="B28" s="38">
        <v>36.709236399749543</v>
      </c>
      <c r="C28" s="36">
        <f>0.0232052*100</f>
        <v>2.3205199999999997</v>
      </c>
      <c r="D28" s="38">
        <f>0.429618*100</f>
        <v>42.961799999999997</v>
      </c>
      <c r="E28" s="36">
        <f>0.0208811*100</f>
        <v>2.0881099999999999</v>
      </c>
      <c r="F28" s="4"/>
      <c r="G28" s="14">
        <f t="shared" si="10"/>
        <v>6.2525636002504541</v>
      </c>
      <c r="H28" s="15">
        <f t="shared" si="11"/>
        <v>3.1217008893390155</v>
      </c>
      <c r="I28" s="15">
        <f t="shared" si="12"/>
        <v>2.0029348813025973</v>
      </c>
      <c r="J28" s="15">
        <f t="shared" si="13"/>
        <v>2.2592139240663389E-2</v>
      </c>
      <c r="K28" s="16" t="str">
        <f t="shared" si="14"/>
        <v>Significativa</v>
      </c>
      <c r="N28" s="18" t="s">
        <v>25</v>
      </c>
      <c r="O28" s="38">
        <v>46.005822302735361</v>
      </c>
      <c r="P28" s="36">
        <v>1.87304</v>
      </c>
      <c r="Q28" s="38">
        <f>0.429618*100</f>
        <v>42.961799999999997</v>
      </c>
      <c r="R28" s="36">
        <f>0.0208811*100</f>
        <v>2.0881099999999999</v>
      </c>
      <c r="S28" s="4"/>
      <c r="T28" s="14">
        <f t="shared" si="15"/>
        <v>-3.0440223027353639</v>
      </c>
      <c r="U28" s="15">
        <f t="shared" si="16"/>
        <v>2.8050814985843102</v>
      </c>
      <c r="V28" s="15">
        <f t="shared" si="17"/>
        <v>-1.0851814124729153</v>
      </c>
      <c r="W28" s="15">
        <f t="shared" si="18"/>
        <v>0.13892065749762261</v>
      </c>
      <c r="X28" s="16" t="str">
        <f t="shared" si="19"/>
        <v>No significativa</v>
      </c>
    </row>
    <row r="29" spans="1:24" x14ac:dyDescent="0.25">
      <c r="A29" s="18" t="s">
        <v>26</v>
      </c>
      <c r="B29" s="38">
        <v>34.464811104738033</v>
      </c>
      <c r="C29" s="36">
        <f>0.0213278*100</f>
        <v>2.1327799999999999</v>
      </c>
      <c r="D29" s="38">
        <f>0.40859*100</f>
        <v>40.859000000000002</v>
      </c>
      <c r="E29" s="36">
        <f>0.016926*100</f>
        <v>1.6926000000000001</v>
      </c>
      <c r="F29" s="4"/>
      <c r="G29" s="14">
        <f t="shared" si="10"/>
        <v>6.3941888952619692</v>
      </c>
      <c r="H29" s="15">
        <f t="shared" si="11"/>
        <v>2.7228010005139929</v>
      </c>
      <c r="I29" s="15">
        <f t="shared" si="12"/>
        <v>2.3483864204746934</v>
      </c>
      <c r="J29" s="15">
        <f t="shared" si="13"/>
        <v>9.4274743675447636E-3</v>
      </c>
      <c r="K29" s="16" t="str">
        <f t="shared" si="14"/>
        <v>Significativa</v>
      </c>
      <c r="N29" s="18" t="s">
        <v>26</v>
      </c>
      <c r="O29" s="38">
        <v>46.774733611770088</v>
      </c>
      <c r="P29" s="36">
        <v>1.51488</v>
      </c>
      <c r="Q29" s="38">
        <f>0.40859*100</f>
        <v>40.859000000000002</v>
      </c>
      <c r="R29" s="36">
        <f>0.016926*100</f>
        <v>1.6926000000000001</v>
      </c>
      <c r="S29" s="4"/>
      <c r="T29" s="14">
        <f t="shared" si="15"/>
        <v>-5.9157336117700865</v>
      </c>
      <c r="U29" s="15">
        <f t="shared" si="16"/>
        <v>2.271509668568461</v>
      </c>
      <c r="V29" s="15">
        <f t="shared" si="17"/>
        <v>-2.6043180417093574</v>
      </c>
      <c r="W29" s="15">
        <f t="shared" si="18"/>
        <v>4.6028643874546048E-3</v>
      </c>
      <c r="X29" s="16" t="str">
        <f t="shared" si="19"/>
        <v>Significativa</v>
      </c>
    </row>
    <row r="30" spans="1:24" x14ac:dyDescent="0.25">
      <c r="A30" s="8" t="s">
        <v>27</v>
      </c>
      <c r="B30" s="38"/>
      <c r="C30" s="36"/>
      <c r="D30" s="38"/>
      <c r="E30" s="36"/>
      <c r="F30" s="4"/>
      <c r="G30" s="14"/>
      <c r="H30" s="15"/>
      <c r="I30" s="15"/>
      <c r="J30" s="15"/>
      <c r="K30" s="16"/>
      <c r="N30" s="8" t="s">
        <v>27</v>
      </c>
      <c r="O30" s="38"/>
      <c r="P30" s="36"/>
      <c r="Q30" s="38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38">
        <v>24.888524022721981</v>
      </c>
      <c r="C31" s="36">
        <f>0.0174589*100</f>
        <v>1.7458899999999999</v>
      </c>
      <c r="D31" s="38">
        <f>0.233743*100</f>
        <v>23.374300000000002</v>
      </c>
      <c r="E31" s="36">
        <f>0.0143625*100</f>
        <v>1.43625</v>
      </c>
      <c r="F31" s="22"/>
      <c r="G31" s="14">
        <f>D31-B31</f>
        <v>-1.5142240227219794</v>
      </c>
      <c r="H31" s="15">
        <f>SQRT(((E31^2)+(C31^2)))</f>
        <v>2.2607401342480742</v>
      </c>
      <c r="I31" s="15">
        <f>(D31-B31)/SQRT(((E31^2)+(C31^2)))</f>
        <v>-0.66979127754796675</v>
      </c>
      <c r="J31" s="15">
        <f>IF(I31&gt;0,(1-NORMSDIST(I31)),(NORMSDIST(I31)))</f>
        <v>0.25149542734388453</v>
      </c>
      <c r="K31" s="16" t="str">
        <f>IF(J31&lt;0.025,"Significativa","No significativa")</f>
        <v>No significativa</v>
      </c>
      <c r="N31" s="21" t="s">
        <v>28</v>
      </c>
      <c r="O31" s="38">
        <v>20.817739330857798</v>
      </c>
      <c r="P31" s="36">
        <v>1.21932</v>
      </c>
      <c r="Q31" s="38">
        <f>0.233743*100</f>
        <v>23.374300000000002</v>
      </c>
      <c r="R31" s="36">
        <f>0.0143625*100</f>
        <v>1.43625</v>
      </c>
      <c r="S31" s="22"/>
      <c r="T31" s="14">
        <f>Q31-O31</f>
        <v>2.556560669142204</v>
      </c>
      <c r="U31" s="15">
        <f>SQRT(((R31^2)+(P31^2)))</f>
        <v>1.8840263599270579</v>
      </c>
      <c r="V31" s="15">
        <f>(Q31-O31)/SQRT(((R31^2)+(P31^2)))</f>
        <v>1.3569665072208352</v>
      </c>
      <c r="W31" s="15">
        <f>IF(V31&gt;0,(1-NORMSDIST(V31)),(NORMSDIST(V31)))</f>
        <v>8.7395926408610047E-2</v>
      </c>
      <c r="X31" s="16" t="str">
        <f>IF(W31&lt;0.025,"Significativa","No significativa")</f>
        <v>No significativa</v>
      </c>
    </row>
    <row r="32" spans="1:24" ht="15.75" thickBot="1" x14ac:dyDescent="0.3">
      <c r="A32" s="23" t="s">
        <v>29</v>
      </c>
      <c r="B32" s="35">
        <v>56.615117238929649</v>
      </c>
      <c r="C32" s="33">
        <f>0.0173093*100</f>
        <v>1.7309299999999999</v>
      </c>
      <c r="D32" s="42">
        <f>0.567786*100</f>
        <v>56.778600000000004</v>
      </c>
      <c r="E32" s="33">
        <f>0.0145204*100</f>
        <v>1.45204</v>
      </c>
      <c r="F32" s="24"/>
      <c r="G32" s="32">
        <f>D32-B32</f>
        <v>0.16348276107035531</v>
      </c>
      <c r="H32" s="25">
        <f>SQRT(((E32^2)+(C32^2)))</f>
        <v>2.2593226477198867</v>
      </c>
      <c r="I32" s="25">
        <f>(D32-B32)/SQRT(((E32^2)+(C32^2)))</f>
        <v>7.2359191917693771E-2</v>
      </c>
      <c r="J32" s="25">
        <f>IF(I32&gt;0,(1-NORMSDIST(I32)),(NORMSDIST(I32)))</f>
        <v>0.47115802987930566</v>
      </c>
      <c r="K32" s="26" t="str">
        <f>IF(J32&lt;0.025,"Significativa","No significativa")</f>
        <v>No significativa</v>
      </c>
      <c r="N32" s="23" t="s">
        <v>29</v>
      </c>
      <c r="O32" s="35">
        <v>56.171608390812722</v>
      </c>
      <c r="P32" s="33">
        <v>1.8307799999999999</v>
      </c>
      <c r="Q32" s="42">
        <f>0.567786*100</f>
        <v>56.778600000000004</v>
      </c>
      <c r="R32" s="33">
        <f>0.0145204*100</f>
        <v>1.45204</v>
      </c>
      <c r="S32" s="24"/>
      <c r="T32" s="32">
        <f>Q32-O32</f>
        <v>0.60699160918728268</v>
      </c>
      <c r="U32" s="25">
        <f>SQRT(((R32^2)+(P32^2)))</f>
        <v>2.3367018573194138</v>
      </c>
      <c r="V32" s="25">
        <f>(Q32-O32)/SQRT(((R32^2)+(P32^2)))</f>
        <v>0.25976425160358418</v>
      </c>
      <c r="W32" s="25">
        <f>IF(V32&gt;0,(1-NORMSDIST(V32)),(NORMSDIST(V32)))</f>
        <v>0.397522813819847</v>
      </c>
      <c r="X32" s="26" t="str">
        <f>IF(W32&lt;0.025,"Significativa","No significativa")</f>
        <v>No 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9:X9"/>
    <mergeCell ref="A10:K10"/>
    <mergeCell ref="N10:X10"/>
    <mergeCell ref="A11:A12"/>
    <mergeCell ref="B11:C11"/>
    <mergeCell ref="D11:E11"/>
    <mergeCell ref="I11:I12"/>
    <mergeCell ref="J11:J12"/>
    <mergeCell ref="X11:X12"/>
    <mergeCell ref="G12:H12"/>
    <mergeCell ref="T12:U12"/>
    <mergeCell ref="K11:K12"/>
    <mergeCell ref="N11:N12"/>
    <mergeCell ref="O11:P11"/>
    <mergeCell ref="Q11:R11"/>
    <mergeCell ref="V11:V12"/>
    <mergeCell ref="W11:W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CB44A-329D-46EC-94B0-A44E891AF45E}">
  <dimension ref="A4:X34"/>
  <sheetViews>
    <sheetView workbookViewId="0">
      <selection activeCell="J2" sqref="J2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55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54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46">
        <v>33.840678227360307</v>
      </c>
      <c r="C14" s="36">
        <f>0.0151285*100</f>
        <v>1.51285</v>
      </c>
      <c r="D14" s="38">
        <f>0.357655*100</f>
        <v>35.765500000000003</v>
      </c>
      <c r="E14" s="36">
        <f>0.0119498*100</f>
        <v>1.1949799999999999</v>
      </c>
      <c r="F14" s="4"/>
      <c r="G14" s="14">
        <f t="shared" ref="G14:G19" si="0">D14-B14</f>
        <v>1.9248217726396959</v>
      </c>
      <c r="H14" s="15">
        <f t="shared" ref="H14:H19" si="1">SQRT(E14*E14+C14*C14)</f>
        <v>1.927872486161883</v>
      </c>
      <c r="I14" s="15">
        <f t="shared" ref="I14:I19" si="2">G14/H14</f>
        <v>0.99841757505017326</v>
      </c>
      <c r="J14" s="15">
        <f t="shared" ref="J14:J19" si="3">IF(I14&gt;0,(1-NORMSDIST(I14)),(NORMSDIST(I14)))</f>
        <v>0.15903845739859879</v>
      </c>
      <c r="K14" s="16" t="str">
        <f t="shared" ref="K14:K19" si="4">IF(J14&lt;0.025,"Significativa","No significativa")</f>
        <v>No significativa</v>
      </c>
      <c r="N14" s="13" t="s">
        <v>11</v>
      </c>
      <c r="O14" s="46">
        <v>35.070260608529516</v>
      </c>
      <c r="P14" s="36">
        <v>1.3608</v>
      </c>
      <c r="Q14" s="38">
        <f>0.357655*100</f>
        <v>35.765500000000003</v>
      </c>
      <c r="R14" s="36">
        <f>0.0119498*100</f>
        <v>1.1949799999999999</v>
      </c>
      <c r="S14" s="4"/>
      <c r="T14" s="14">
        <f t="shared" ref="T14:T19" si="5">Q14-O14</f>
        <v>0.69523939147048708</v>
      </c>
      <c r="U14" s="15">
        <f t="shared" ref="U14:U19" si="6">SQRT(R14*R14+P14*P14)</f>
        <v>1.8110090669016541</v>
      </c>
      <c r="V14" s="15">
        <f t="shared" ref="V14:V19" si="7">T14/U14</f>
        <v>0.38389614065264183</v>
      </c>
      <c r="W14" s="15">
        <f t="shared" ref="W14:W19" si="8">IF(V14&gt;0,(1-NORMSDIST(V14)),(NORMSDIST(V14)))</f>
        <v>0.35052771346025668</v>
      </c>
      <c r="X14" s="16" t="str">
        <f t="shared" ref="X14:X19" si="9">IF(W14&lt;0.025,"Significativa","No significativa")</f>
        <v>No significativa</v>
      </c>
    </row>
    <row r="15" spans="1:24" x14ac:dyDescent="0.25">
      <c r="A15" s="13" t="s">
        <v>12</v>
      </c>
      <c r="B15" s="46">
        <v>28.995606936416184</v>
      </c>
      <c r="C15" s="36">
        <f>0.0129244*100</f>
        <v>1.29244</v>
      </c>
      <c r="D15" s="38">
        <f>0.31961*100</f>
        <v>31.961000000000002</v>
      </c>
      <c r="E15" s="36">
        <f>0.0106991*100</f>
        <v>1.0699099999999999</v>
      </c>
      <c r="F15" s="4"/>
      <c r="G15" s="14">
        <f t="shared" si="0"/>
        <v>2.9653930635838179</v>
      </c>
      <c r="H15" s="15">
        <f t="shared" si="1"/>
        <v>1.6778285257141148</v>
      </c>
      <c r="I15" s="15">
        <f t="shared" si="2"/>
        <v>1.7673993606239897</v>
      </c>
      <c r="J15" s="15">
        <f t="shared" si="3"/>
        <v>3.8580684978043678E-2</v>
      </c>
      <c r="K15" s="16" t="str">
        <f t="shared" si="4"/>
        <v>No significativa</v>
      </c>
      <c r="N15" s="13" t="s">
        <v>12</v>
      </c>
      <c r="O15" s="46">
        <v>31.75323663899303</v>
      </c>
      <c r="P15" s="36">
        <v>1.2512099999999999</v>
      </c>
      <c r="Q15" s="38">
        <f>0.31961*100</f>
        <v>31.961000000000002</v>
      </c>
      <c r="R15" s="36">
        <f>0.0106991*100</f>
        <v>1.0699099999999999</v>
      </c>
      <c r="S15" s="4"/>
      <c r="T15" s="14">
        <f t="shared" si="5"/>
        <v>0.20776336100697179</v>
      </c>
      <c r="U15" s="15">
        <f t="shared" si="6"/>
        <v>1.646278795404958</v>
      </c>
      <c r="V15" s="15">
        <f t="shared" si="7"/>
        <v>0.12620180833700489</v>
      </c>
      <c r="W15" s="15">
        <f t="shared" si="8"/>
        <v>0.44978608998317537</v>
      </c>
      <c r="X15" s="16" t="str">
        <f t="shared" si="9"/>
        <v>No significativa</v>
      </c>
    </row>
    <row r="16" spans="1:24" x14ac:dyDescent="0.25">
      <c r="A16" s="13" t="s">
        <v>13</v>
      </c>
      <c r="B16" s="46">
        <v>4.8450712909441229</v>
      </c>
      <c r="C16" s="36">
        <f>0.0068391*100</f>
        <v>0.68391000000000002</v>
      </c>
      <c r="D16" s="38">
        <f>0.0380456*100</f>
        <v>3.8045599999999999</v>
      </c>
      <c r="E16" s="36">
        <f>0.0051649*100</f>
        <v>0.51649</v>
      </c>
      <c r="F16" s="4"/>
      <c r="G16" s="14">
        <f t="shared" si="0"/>
        <v>-1.040511290944123</v>
      </c>
      <c r="H16" s="15">
        <f t="shared" si="1"/>
        <v>0.85702672548760117</v>
      </c>
      <c r="I16" s="15">
        <f t="shared" si="2"/>
        <v>-1.2140943333501404</v>
      </c>
      <c r="J16" s="15">
        <f t="shared" si="3"/>
        <v>0.11235585182869616</v>
      </c>
      <c r="K16" s="16" t="str">
        <f t="shared" si="4"/>
        <v>No significativa</v>
      </c>
      <c r="N16" s="13" t="s">
        <v>13</v>
      </c>
      <c r="O16" s="46">
        <v>3.31702396953649</v>
      </c>
      <c r="P16" s="36">
        <v>0.55725999999999998</v>
      </c>
      <c r="Q16" s="38">
        <f>0.0380456*100</f>
        <v>3.8045599999999999</v>
      </c>
      <c r="R16" s="36">
        <f>0.0051649*100</f>
        <v>0.51649</v>
      </c>
      <c r="S16" s="4"/>
      <c r="T16" s="14">
        <f t="shared" si="5"/>
        <v>0.48753603046350991</v>
      </c>
      <c r="U16" s="15">
        <f t="shared" si="6"/>
        <v>0.75980301901216474</v>
      </c>
      <c r="V16" s="15">
        <f t="shared" si="7"/>
        <v>0.64166108618173878</v>
      </c>
      <c r="W16" s="15">
        <f t="shared" si="8"/>
        <v>0.26054663041675252</v>
      </c>
      <c r="X16" s="16" t="str">
        <f t="shared" si="9"/>
        <v>No significativa</v>
      </c>
    </row>
    <row r="17" spans="1:24" x14ac:dyDescent="0.25">
      <c r="A17" s="13" t="s">
        <v>14</v>
      </c>
      <c r="B17" s="46">
        <v>33.083005780346816</v>
      </c>
      <c r="C17" s="36">
        <f>0.0133929*100</f>
        <v>1.3392899999999999</v>
      </c>
      <c r="D17" s="38">
        <f>0.23587*100</f>
        <v>23.587</v>
      </c>
      <c r="E17" s="36">
        <f>0.0093856*100</f>
        <v>0.93855999999999995</v>
      </c>
      <c r="F17" s="4"/>
      <c r="G17" s="14">
        <f t="shared" si="0"/>
        <v>-9.4960057803468167</v>
      </c>
      <c r="H17" s="15">
        <f t="shared" si="1"/>
        <v>1.6354181660052574</v>
      </c>
      <c r="I17" s="15">
        <f t="shared" si="2"/>
        <v>-5.8064695487284261</v>
      </c>
      <c r="J17" s="15">
        <f t="shared" si="3"/>
        <v>3.1901935124645712E-9</v>
      </c>
      <c r="K17" s="16" t="str">
        <f t="shared" si="4"/>
        <v>Significativa</v>
      </c>
      <c r="N17" s="13" t="s">
        <v>14</v>
      </c>
      <c r="O17" s="46">
        <v>25.689698741506749</v>
      </c>
      <c r="P17" s="36">
        <v>1.1676499999999999</v>
      </c>
      <c r="Q17" s="38">
        <f>0.23587*100</f>
        <v>23.587</v>
      </c>
      <c r="R17" s="36">
        <f>0.0093856*100</f>
        <v>0.93855999999999995</v>
      </c>
      <c r="S17" s="4"/>
      <c r="T17" s="14">
        <f t="shared" si="5"/>
        <v>-2.1026987415067495</v>
      </c>
      <c r="U17" s="15">
        <f t="shared" si="6"/>
        <v>1.4980992610972077</v>
      </c>
      <c r="V17" s="15">
        <f t="shared" si="7"/>
        <v>-1.4035777175183528</v>
      </c>
      <c r="W17" s="15">
        <f t="shared" si="8"/>
        <v>8.0222317123076967E-2</v>
      </c>
      <c r="X17" s="16" t="str">
        <f t="shared" si="9"/>
        <v>No significativa</v>
      </c>
    </row>
    <row r="18" spans="1:24" x14ac:dyDescent="0.25">
      <c r="A18" s="13" t="s">
        <v>15</v>
      </c>
      <c r="B18" s="46">
        <v>7.8362080924855482</v>
      </c>
      <c r="C18" s="36">
        <f>0.0069687*100</f>
        <v>0.69686999999999999</v>
      </c>
      <c r="D18" s="38">
        <f>0.126255*100</f>
        <v>12.625500000000001</v>
      </c>
      <c r="E18" s="36">
        <f>0.0083157*100</f>
        <v>0.83157000000000003</v>
      </c>
      <c r="F18" s="4"/>
      <c r="G18" s="14">
        <f t="shared" si="0"/>
        <v>4.7892919075144524</v>
      </c>
      <c r="H18" s="15">
        <f t="shared" si="1"/>
        <v>1.084959198218993</v>
      </c>
      <c r="I18" s="15">
        <f t="shared" si="2"/>
        <v>4.4142599236692774</v>
      </c>
      <c r="J18" s="15">
        <f t="shared" si="3"/>
        <v>5.0678061789266593E-6</v>
      </c>
      <c r="K18" s="16" t="str">
        <f t="shared" si="4"/>
        <v>Significativa</v>
      </c>
      <c r="N18" s="13" t="s">
        <v>15</v>
      </c>
      <c r="O18" s="46">
        <v>13.216548195041403</v>
      </c>
      <c r="P18" s="36">
        <v>0.91973000000000005</v>
      </c>
      <c r="Q18" s="38">
        <f>0.126255*100</f>
        <v>12.625500000000001</v>
      </c>
      <c r="R18" s="36">
        <f>0.0083157*100</f>
        <v>0.83157000000000003</v>
      </c>
      <c r="S18" s="4"/>
      <c r="T18" s="14">
        <f t="shared" si="5"/>
        <v>-0.59104819504140238</v>
      </c>
      <c r="U18" s="15">
        <f t="shared" si="6"/>
        <v>1.239924166148882</v>
      </c>
      <c r="V18" s="15">
        <f t="shared" si="7"/>
        <v>-0.47668092225120257</v>
      </c>
      <c r="W18" s="15">
        <f t="shared" si="8"/>
        <v>0.31679467494551561</v>
      </c>
      <c r="X18" s="16" t="str">
        <f t="shared" si="9"/>
        <v>No significativa</v>
      </c>
    </row>
    <row r="19" spans="1:24" x14ac:dyDescent="0.25">
      <c r="A19" s="13" t="s">
        <v>16</v>
      </c>
      <c r="B19" s="46">
        <v>25.240107899807324</v>
      </c>
      <c r="C19" s="36">
        <f>0.0113124*100</f>
        <v>1.13124</v>
      </c>
      <c r="D19" s="38">
        <f>0.28022*100</f>
        <v>28.022000000000002</v>
      </c>
      <c r="E19" s="36">
        <f>0.0114164*100</f>
        <v>1.14164</v>
      </c>
      <c r="F19" s="4"/>
      <c r="G19" s="14">
        <f t="shared" si="0"/>
        <v>2.7818921001926782</v>
      </c>
      <c r="H19" s="15">
        <f t="shared" si="1"/>
        <v>1.6071856853518824</v>
      </c>
      <c r="I19" s="15">
        <f t="shared" si="2"/>
        <v>1.7309089581541424</v>
      </c>
      <c r="J19" s="15">
        <f t="shared" si="3"/>
        <v>4.1734001817863131E-2</v>
      </c>
      <c r="K19" s="16" t="str">
        <f t="shared" si="4"/>
        <v>No significativa</v>
      </c>
      <c r="N19" s="13" t="s">
        <v>16</v>
      </c>
      <c r="O19" s="46">
        <v>26.023492454922327</v>
      </c>
      <c r="P19" s="36">
        <v>1.2096799999999999</v>
      </c>
      <c r="Q19" s="38">
        <f>0.28022*100</f>
        <v>28.022000000000002</v>
      </c>
      <c r="R19" s="36">
        <f>0.0114164*100</f>
        <v>1.14164</v>
      </c>
      <c r="S19" s="4"/>
      <c r="T19" s="14">
        <f t="shared" si="5"/>
        <v>1.9985075450776755</v>
      </c>
      <c r="U19" s="15">
        <f t="shared" si="6"/>
        <v>1.6633302714734677</v>
      </c>
      <c r="V19" s="15">
        <f t="shared" si="7"/>
        <v>1.2015097538670354</v>
      </c>
      <c r="W19" s="15">
        <f t="shared" si="8"/>
        <v>0.1147767625967655</v>
      </c>
      <c r="X19" s="16" t="str">
        <f t="shared" si="9"/>
        <v>No significativa</v>
      </c>
    </row>
    <row r="20" spans="1:24" x14ac:dyDescent="0.25">
      <c r="A20" s="17" t="s">
        <v>17</v>
      </c>
      <c r="B20" s="46"/>
      <c r="C20" s="36"/>
      <c r="D20" s="38"/>
      <c r="E20" s="36"/>
      <c r="F20" s="4"/>
      <c r="G20" s="14"/>
      <c r="H20" s="15"/>
      <c r="I20" s="15"/>
      <c r="J20" s="15"/>
      <c r="K20" s="16"/>
      <c r="N20" s="17" t="s">
        <v>17</v>
      </c>
      <c r="O20" s="46"/>
      <c r="P20" s="36"/>
      <c r="Q20" s="38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46">
        <v>66.923684007707124</v>
      </c>
      <c r="C21" s="36">
        <f>0.0128048*100</f>
        <v>1.2804800000000001</v>
      </c>
      <c r="D21" s="38">
        <f>0.593525*100</f>
        <v>59.352499999999999</v>
      </c>
      <c r="E21" s="36">
        <f>0.0116474*100</f>
        <v>1.1647400000000001</v>
      </c>
      <c r="F21" s="4"/>
      <c r="G21" s="14">
        <f>D21-B21</f>
        <v>-7.5711840077071244</v>
      </c>
      <c r="H21" s="15">
        <f>SQRT(E21*E21+C21*C21)</f>
        <v>1.7309674456788608</v>
      </c>
      <c r="I21" s="15">
        <f>G21/H21</f>
        <v>-4.3739609468725815</v>
      </c>
      <c r="J21" s="15">
        <f>IF(I21&gt;0,(1-NORMSDIST(I21)),(NORMSDIST(I21)))</f>
        <v>6.1006107816077009E-6</v>
      </c>
      <c r="K21" s="16" t="str">
        <f>IF(J21&lt;0.025,"Significativa","No significativa")</f>
        <v>Significativa</v>
      </c>
      <c r="N21" s="18" t="s">
        <v>18</v>
      </c>
      <c r="O21" s="46">
        <v>60.759959350036276</v>
      </c>
      <c r="P21" s="36">
        <v>1.19025</v>
      </c>
      <c r="Q21" s="38">
        <f>0.593525*100</f>
        <v>59.352499999999999</v>
      </c>
      <c r="R21" s="36">
        <f>0.0116474*100</f>
        <v>1.1647400000000001</v>
      </c>
      <c r="S21" s="4"/>
      <c r="T21" s="14">
        <f>Q21-O21</f>
        <v>-1.4074593500362766</v>
      </c>
      <c r="U21" s="15">
        <f>SQRT(R21*R21+P21*P21)</f>
        <v>1.6653270940268763</v>
      </c>
      <c r="V21" s="15">
        <f>T21/U21</f>
        <v>-0.84515489784829145</v>
      </c>
      <c r="W21" s="15">
        <f>IF(V21&gt;0,(1-NORMSDIST(V21)),(NORMSDIST(V21)))</f>
        <v>0.19901218024016532</v>
      </c>
      <c r="X21" s="16" t="str">
        <f>IF(W21&lt;0.025,"Significativa","No significativa")</f>
        <v>No significativa</v>
      </c>
    </row>
    <row r="22" spans="1:24" x14ac:dyDescent="0.25">
      <c r="A22" s="18" t="s">
        <v>19</v>
      </c>
      <c r="B22" s="46">
        <v>17.121078998073216</v>
      </c>
      <c r="C22" s="36">
        <f>0.0140759*100</f>
        <v>1.4075900000000001</v>
      </c>
      <c r="D22" s="38">
        <f>0.101571*100</f>
        <v>10.1571</v>
      </c>
      <c r="E22" s="36">
        <f>0.0082219*100</f>
        <v>0.82219000000000009</v>
      </c>
      <c r="F22" s="4"/>
      <c r="G22" s="14">
        <f>D22-B22</f>
        <v>-6.9639789980732161</v>
      </c>
      <c r="H22" s="15">
        <f>SQRT(E22*E22+C22*C22)</f>
        <v>1.6301245364081851</v>
      </c>
      <c r="I22" s="15">
        <f>G22/H22</f>
        <v>-4.2720533569893018</v>
      </c>
      <c r="J22" s="15">
        <f>IF(I22&gt;0,(1-NORMSDIST(I22)),(NORMSDIST(I22)))</f>
        <v>9.6840607996538171E-6</v>
      </c>
      <c r="K22" s="16" t="str">
        <f>IF(J22&lt;0.025,"Significativa","No significativa")</f>
        <v>Significativa</v>
      </c>
      <c r="N22" s="18" t="s">
        <v>19</v>
      </c>
      <c r="O22" s="46">
        <v>9.7606477417049895</v>
      </c>
      <c r="P22" s="36">
        <v>0.75744</v>
      </c>
      <c r="Q22" s="38">
        <f>0.101571*100</f>
        <v>10.1571</v>
      </c>
      <c r="R22" s="36">
        <f>0.0082219*100</f>
        <v>0.82219000000000009</v>
      </c>
      <c r="S22" s="4"/>
      <c r="T22" s="14">
        <f>Q22-O22</f>
        <v>0.3964522582950103</v>
      </c>
      <c r="U22" s="15">
        <f>SQRT(R22*R22+P22*P22)</f>
        <v>1.1179050718643333</v>
      </c>
      <c r="V22" s="15">
        <f>T22/U22</f>
        <v>0.35463857197986032</v>
      </c>
      <c r="W22" s="15">
        <f>IF(V22&gt;0,(1-NORMSDIST(V22)),(NORMSDIST(V22)))</f>
        <v>0.3614301878508126</v>
      </c>
      <c r="X22" s="16" t="str">
        <f>IF(W22&lt;0.025,"Significativa","No significativa")</f>
        <v>No significativa</v>
      </c>
    </row>
    <row r="23" spans="1:24" x14ac:dyDescent="0.25">
      <c r="A23" s="19" t="s">
        <v>20</v>
      </c>
      <c r="B23" s="46"/>
      <c r="C23" s="36"/>
      <c r="D23" s="38"/>
      <c r="E23" s="36"/>
      <c r="F23" s="4"/>
      <c r="G23" s="14"/>
      <c r="H23" s="15"/>
      <c r="I23" s="15"/>
      <c r="J23" s="15"/>
      <c r="K23" s="16"/>
      <c r="N23" s="19" t="s">
        <v>20</v>
      </c>
      <c r="O23" s="46"/>
      <c r="P23" s="36"/>
      <c r="Q23" s="38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46">
        <v>17.342736030828515</v>
      </c>
      <c r="C24" s="36">
        <f>0.00768*100</f>
        <v>0.76800000000000002</v>
      </c>
      <c r="D24" s="38">
        <f>0.134252*100</f>
        <v>13.4252</v>
      </c>
      <c r="E24" s="36">
        <f>0.0063686*100</f>
        <v>0.63685999999999998</v>
      </c>
      <c r="F24" s="4"/>
      <c r="G24" s="14">
        <f t="shared" ref="G24:G29" si="10">D24-B24</f>
        <v>-3.917536030828515</v>
      </c>
      <c r="H24" s="15">
        <f t="shared" ref="H24:H29" si="11">SQRT(E24*E24+C24*C24)</f>
        <v>0.99770469558883002</v>
      </c>
      <c r="I24" s="15">
        <f t="shared" ref="I24:I29" si="12">G24/H24</f>
        <v>-3.9265486552776472</v>
      </c>
      <c r="J24" s="15">
        <f t="shared" ref="J24:J29" si="13">IF(I24&gt;0,(1-NORMSDIST(I24)),(NORMSDIST(I24)))</f>
        <v>4.3086733476158195E-5</v>
      </c>
      <c r="K24" s="16" t="str">
        <f t="shared" ref="K24:K29" si="14">IF(J24&lt;0.025,"Significativa","No significativa")</f>
        <v>Significativa</v>
      </c>
      <c r="N24" s="20" t="s">
        <v>21</v>
      </c>
      <c r="O24" s="46">
        <v>14.39092586500988</v>
      </c>
      <c r="P24" s="36">
        <v>0.54464000000000001</v>
      </c>
      <c r="Q24" s="38">
        <f>0.134252*100</f>
        <v>13.4252</v>
      </c>
      <c r="R24" s="36">
        <f>0.0063686*100</f>
        <v>0.63685999999999998</v>
      </c>
      <c r="S24" s="4"/>
      <c r="T24" s="14">
        <f t="shared" ref="T24:T29" si="15">Q24-O24</f>
        <v>-0.96572586500987967</v>
      </c>
      <c r="U24" s="15">
        <f t="shared" ref="U24:U29" si="16">SQRT(R24*R24+P24*P24)</f>
        <v>0.83798770229640007</v>
      </c>
      <c r="V24" s="15">
        <f t="shared" ref="V24:V29" si="17">T24/U24</f>
        <v>-1.1524344120604983</v>
      </c>
      <c r="W24" s="15">
        <f t="shared" ref="W24:W29" si="18">IF(V24&gt;0,(1-NORMSDIST(V24)),(NORMSDIST(V24)))</f>
        <v>0.12457130350102152</v>
      </c>
      <c r="X24" s="16" t="str">
        <f t="shared" ref="X24:X29" si="19">IF(W24&lt;0.025,"Significativa","No significativa")</f>
        <v>No significativa</v>
      </c>
    </row>
    <row r="25" spans="1:24" x14ac:dyDescent="0.25">
      <c r="A25" s="18" t="s">
        <v>22</v>
      </c>
      <c r="B25" s="46">
        <v>23.933718689788051</v>
      </c>
      <c r="C25" s="36">
        <f>0.0102555*100</f>
        <v>1.02555</v>
      </c>
      <c r="D25" s="38">
        <f>0.195526*100</f>
        <v>19.552600000000002</v>
      </c>
      <c r="E25" s="36">
        <f>0.0085416*100</f>
        <v>0.85416000000000003</v>
      </c>
      <c r="F25" s="4"/>
      <c r="G25" s="14">
        <f t="shared" si="10"/>
        <v>-4.3811186897880496</v>
      </c>
      <c r="H25" s="15">
        <f t="shared" si="11"/>
        <v>1.3346692879136763</v>
      </c>
      <c r="I25" s="15">
        <f t="shared" si="12"/>
        <v>-3.2825500140461847</v>
      </c>
      <c r="J25" s="15">
        <f t="shared" si="13"/>
        <v>5.1436367531276967E-4</v>
      </c>
      <c r="K25" s="16" t="str">
        <f t="shared" si="14"/>
        <v>Significativa</v>
      </c>
      <c r="N25" s="18" t="s">
        <v>22</v>
      </c>
      <c r="O25" s="46">
        <v>11.981255486982645</v>
      </c>
      <c r="P25" s="36">
        <v>0.77225999999999995</v>
      </c>
      <c r="Q25" s="38">
        <f>0.195526*100</f>
        <v>19.552600000000002</v>
      </c>
      <c r="R25" s="36">
        <f>0.0085416*100</f>
        <v>0.85416000000000003</v>
      </c>
      <c r="S25" s="4"/>
      <c r="T25" s="14">
        <f t="shared" si="15"/>
        <v>7.5713445130173564</v>
      </c>
      <c r="U25" s="15">
        <f t="shared" si="16"/>
        <v>1.1515097972661803</v>
      </c>
      <c r="V25" s="15">
        <f t="shared" si="17"/>
        <v>6.5751455445647258</v>
      </c>
      <c r="W25" s="15">
        <f t="shared" si="18"/>
        <v>2.4302782009044677E-11</v>
      </c>
      <c r="X25" s="16" t="str">
        <f t="shared" si="19"/>
        <v>Significativa</v>
      </c>
    </row>
    <row r="26" spans="1:24" x14ac:dyDescent="0.25">
      <c r="A26" s="18" t="s">
        <v>23</v>
      </c>
      <c r="B26" s="46">
        <v>55.194820809248554</v>
      </c>
      <c r="C26" s="36">
        <f>0.0130153*100</f>
        <v>1.3015300000000001</v>
      </c>
      <c r="D26" s="38">
        <f>0.44462*100</f>
        <v>44.462000000000003</v>
      </c>
      <c r="E26" s="36">
        <f>0.0118699*100</f>
        <v>1.18699</v>
      </c>
      <c r="F26" s="4"/>
      <c r="G26" s="14">
        <f t="shared" si="10"/>
        <v>-10.732820809248551</v>
      </c>
      <c r="H26" s="15">
        <f t="shared" si="11"/>
        <v>1.7615123050946877</v>
      </c>
      <c r="I26" s="15">
        <f t="shared" si="12"/>
        <v>-6.0929581804264616</v>
      </c>
      <c r="J26" s="15">
        <f t="shared" si="13"/>
        <v>5.5421513209910739E-10</v>
      </c>
      <c r="K26" s="16" t="str">
        <f t="shared" si="14"/>
        <v>Significativa</v>
      </c>
      <c r="N26" s="18" t="s">
        <v>23</v>
      </c>
      <c r="O26" s="46">
        <v>43.362439302807374</v>
      </c>
      <c r="P26" s="36">
        <v>1.2833000000000001</v>
      </c>
      <c r="Q26" s="38">
        <f>0.44462*100</f>
        <v>44.462000000000003</v>
      </c>
      <c r="R26" s="36">
        <f>0.0118699*100</f>
        <v>1.18699</v>
      </c>
      <c r="S26" s="4"/>
      <c r="T26" s="14">
        <f t="shared" si="15"/>
        <v>1.0995606971926293</v>
      </c>
      <c r="U26" s="15">
        <f t="shared" si="16"/>
        <v>1.7480858531834185</v>
      </c>
      <c r="V26" s="15">
        <f t="shared" si="17"/>
        <v>0.62900840664675151</v>
      </c>
      <c r="W26" s="15">
        <f t="shared" si="18"/>
        <v>0.26467177629084659</v>
      </c>
      <c r="X26" s="16" t="str">
        <f t="shared" si="19"/>
        <v>No significativa</v>
      </c>
    </row>
    <row r="27" spans="1:24" x14ac:dyDescent="0.25">
      <c r="A27" s="18" t="s">
        <v>24</v>
      </c>
      <c r="B27" s="46">
        <v>12.341795761078998</v>
      </c>
      <c r="C27" s="36">
        <f>0.013261*100</f>
        <v>1.3261000000000001</v>
      </c>
      <c r="D27" s="38">
        <f>0.0559372*100</f>
        <v>5.5937200000000002</v>
      </c>
      <c r="E27" s="36">
        <f>0.0063642*100</f>
        <v>0.63641999999999999</v>
      </c>
      <c r="F27" s="4"/>
      <c r="G27" s="14">
        <f t="shared" si="10"/>
        <v>-6.7480757610789981</v>
      </c>
      <c r="H27" s="15">
        <f t="shared" si="11"/>
        <v>1.470908435763423</v>
      </c>
      <c r="I27" s="15">
        <f t="shared" si="12"/>
        <v>-4.5876926102314775</v>
      </c>
      <c r="J27" s="15">
        <f t="shared" si="13"/>
        <v>2.2408593824120733E-6</v>
      </c>
      <c r="K27" s="16" t="str">
        <f t="shared" si="14"/>
        <v>Significativa</v>
      </c>
      <c r="N27" s="18" t="s">
        <v>24</v>
      </c>
      <c r="O27" s="46">
        <v>7.6953910435015604</v>
      </c>
      <c r="P27" s="36">
        <v>0.91705999999999988</v>
      </c>
      <c r="Q27" s="38">
        <f>0.0559372*100</f>
        <v>5.5937200000000002</v>
      </c>
      <c r="R27" s="36">
        <f>0.0063642*100</f>
        <v>0.63641999999999999</v>
      </c>
      <c r="S27" s="4"/>
      <c r="T27" s="14">
        <f t="shared" si="15"/>
        <v>-2.1016710435015602</v>
      </c>
      <c r="U27" s="15">
        <f t="shared" si="16"/>
        <v>1.1162568969551765</v>
      </c>
      <c r="V27" s="15">
        <f t="shared" si="17"/>
        <v>-1.8827843744879036</v>
      </c>
      <c r="W27" s="15">
        <f t="shared" si="18"/>
        <v>2.9864797734534005E-2</v>
      </c>
      <c r="X27" s="16" t="str">
        <f t="shared" si="19"/>
        <v>No significativa</v>
      </c>
    </row>
    <row r="28" spans="1:24" x14ac:dyDescent="0.25">
      <c r="A28" s="18" t="s">
        <v>25</v>
      </c>
      <c r="B28" s="46">
        <v>13.049495183044316</v>
      </c>
      <c r="C28" s="36">
        <f>0.0191697*100</f>
        <v>1.9169700000000001</v>
      </c>
      <c r="D28" s="38">
        <f>0.0807862*100</f>
        <v>8.0786200000000008</v>
      </c>
      <c r="E28" s="36">
        <f>0.0100614*100</f>
        <v>1.00614</v>
      </c>
      <c r="F28" s="4"/>
      <c r="G28" s="14">
        <f t="shared" si="10"/>
        <v>-4.9708751830443152</v>
      </c>
      <c r="H28" s="15">
        <f t="shared" si="11"/>
        <v>2.1649692100581941</v>
      </c>
      <c r="I28" s="15">
        <f t="shared" si="12"/>
        <v>-2.2960489045064518</v>
      </c>
      <c r="J28" s="15">
        <f t="shared" si="13"/>
        <v>1.0836542654099977E-2</v>
      </c>
      <c r="K28" s="16" t="str">
        <f t="shared" si="14"/>
        <v>Significativa</v>
      </c>
      <c r="N28" s="18" t="s">
        <v>25</v>
      </c>
      <c r="O28" s="46">
        <v>8.8931871009343393</v>
      </c>
      <c r="P28" s="36">
        <v>0.97109000000000001</v>
      </c>
      <c r="Q28" s="38">
        <f>0.0807862*100</f>
        <v>8.0786200000000008</v>
      </c>
      <c r="R28" s="36">
        <f>0.0100614*100</f>
        <v>1.00614</v>
      </c>
      <c r="S28" s="4"/>
      <c r="T28" s="14">
        <f t="shared" si="15"/>
        <v>-0.81456710093433848</v>
      </c>
      <c r="U28" s="15">
        <f t="shared" si="16"/>
        <v>1.3983323952837536</v>
      </c>
      <c r="V28" s="15">
        <f t="shared" si="17"/>
        <v>-0.58252751898023802</v>
      </c>
      <c r="W28" s="15">
        <f t="shared" si="18"/>
        <v>0.2801057054590832</v>
      </c>
      <c r="X28" s="16" t="str">
        <f t="shared" si="19"/>
        <v>No significativa</v>
      </c>
    </row>
    <row r="29" spans="1:24" x14ac:dyDescent="0.25">
      <c r="A29" s="18" t="s">
        <v>26</v>
      </c>
      <c r="B29" s="46">
        <v>11.791260115606935</v>
      </c>
      <c r="C29" s="36">
        <f>0.0109097*100</f>
        <v>1.09097</v>
      </c>
      <c r="D29" s="38">
        <f>0.138999*100</f>
        <v>13.899900000000001</v>
      </c>
      <c r="E29" s="36">
        <f>0.0091707*100</f>
        <v>0.91707000000000005</v>
      </c>
      <c r="F29" s="4"/>
      <c r="G29" s="14">
        <f t="shared" si="10"/>
        <v>2.1086398843930656</v>
      </c>
      <c r="H29" s="15">
        <f t="shared" si="11"/>
        <v>1.4252132913357214</v>
      </c>
      <c r="I29" s="15">
        <f t="shared" si="12"/>
        <v>1.4795258346326754</v>
      </c>
      <c r="J29" s="15">
        <f t="shared" si="13"/>
        <v>6.9499915936533596E-2</v>
      </c>
      <c r="K29" s="16" t="str">
        <f t="shared" si="14"/>
        <v>No significativa</v>
      </c>
      <c r="N29" s="18" t="s">
        <v>26</v>
      </c>
      <c r="O29" s="46">
        <v>16.732383381876563</v>
      </c>
      <c r="P29" s="36">
        <v>1.04861</v>
      </c>
      <c r="Q29" s="38">
        <f>0.138999*100</f>
        <v>13.899900000000001</v>
      </c>
      <c r="R29" s="36">
        <f>0.0091707*100</f>
        <v>0.91707000000000005</v>
      </c>
      <c r="S29" s="4"/>
      <c r="T29" s="14">
        <f t="shared" si="15"/>
        <v>-2.8324833818765622</v>
      </c>
      <c r="U29" s="15">
        <f t="shared" si="16"/>
        <v>1.3930543122936738</v>
      </c>
      <c r="V29" s="15">
        <f t="shared" si="17"/>
        <v>-2.0332899850924391</v>
      </c>
      <c r="W29" s="15">
        <f t="shared" si="18"/>
        <v>2.1011617193351491E-2</v>
      </c>
      <c r="X29" s="16" t="str">
        <f t="shared" si="19"/>
        <v>Significativa</v>
      </c>
    </row>
    <row r="30" spans="1:24" x14ac:dyDescent="0.25">
      <c r="A30" s="8" t="s">
        <v>27</v>
      </c>
      <c r="B30" s="46"/>
      <c r="C30" s="36"/>
      <c r="D30" s="38"/>
      <c r="E30" s="36"/>
      <c r="F30" s="4"/>
      <c r="G30" s="14"/>
      <c r="H30" s="15"/>
      <c r="I30" s="15"/>
      <c r="J30" s="15"/>
      <c r="K30" s="16"/>
      <c r="N30" s="8" t="s">
        <v>27</v>
      </c>
      <c r="O30" s="46"/>
      <c r="P30" s="36"/>
      <c r="Q30" s="38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46">
        <v>12.436500963391136</v>
      </c>
      <c r="C31" s="36">
        <f>0.0153669*100</f>
        <v>1.5366899999999999</v>
      </c>
      <c r="D31" s="38">
        <f>0.151694*100</f>
        <v>15.1694</v>
      </c>
      <c r="E31" s="36">
        <f>0.0081002*100</f>
        <v>0.81001999999999996</v>
      </c>
      <c r="F31" s="22"/>
      <c r="G31" s="14">
        <f>D31-B31</f>
        <v>2.7328990366088632</v>
      </c>
      <c r="H31" s="15">
        <f>SQRT(((E31^2)+(C31^2)))</f>
        <v>1.7371092528968923</v>
      </c>
      <c r="I31" s="15">
        <f>(D31-B31)/SQRT(((E31^2)+(C31^2)))</f>
        <v>1.5732453396649295</v>
      </c>
      <c r="J31" s="15">
        <f>IF(I31&gt;0,(1-NORMSDIST(I31)),(NORMSDIST(I31)))</f>
        <v>5.7831010285090301E-2</v>
      </c>
      <c r="K31" s="16" t="str">
        <f>IF(J31&lt;0.025,"Significativa","No significativa")</f>
        <v>No significativa</v>
      </c>
      <c r="N31" s="21" t="s">
        <v>28</v>
      </c>
      <c r="O31" s="46">
        <v>15.12661723026919</v>
      </c>
      <c r="P31" s="36">
        <v>1.15018</v>
      </c>
      <c r="Q31" s="38">
        <f>0.151694*100</f>
        <v>15.1694</v>
      </c>
      <c r="R31" s="36">
        <f>0.0081002*100</f>
        <v>0.81001999999999996</v>
      </c>
      <c r="S31" s="22"/>
      <c r="T31" s="14">
        <f>Q31-O31</f>
        <v>4.2782769730809633E-2</v>
      </c>
      <c r="U31" s="15">
        <f>SQRT(((R31^2)+(P31^2)))</f>
        <v>1.4067858517912384</v>
      </c>
      <c r="V31" s="15">
        <f>(Q31-O31)/SQRT(((R31^2)+(P31^2)))</f>
        <v>3.0411714530918121E-2</v>
      </c>
      <c r="W31" s="15">
        <f>IF(V31&gt;0,(1-NORMSDIST(V31)),(NORMSDIST(V31)))</f>
        <v>0.48786935116661223</v>
      </c>
      <c r="X31" s="16" t="str">
        <f>IF(W31&lt;0.025,"Significativa","No significativa")</f>
        <v>No significativa</v>
      </c>
    </row>
    <row r="32" spans="1:24" ht="15.75" thickBot="1" x14ac:dyDescent="0.3">
      <c r="A32" s="23" t="s">
        <v>29</v>
      </c>
      <c r="B32" s="30">
        <v>41.676886319845856</v>
      </c>
      <c r="C32" s="33">
        <f>0.0107025*100</f>
        <v>1.0702499999999999</v>
      </c>
      <c r="D32" s="42">
        <f>0.48391*100</f>
        <v>48.390999999999998</v>
      </c>
      <c r="E32" s="33">
        <f>0.0135466*100</f>
        <v>1.35466</v>
      </c>
      <c r="F32" s="24"/>
      <c r="G32" s="32">
        <f>D32-B32</f>
        <v>6.7141136801541421</v>
      </c>
      <c r="H32" s="25">
        <f>SQRT(((E32^2)+(C32^2)))</f>
        <v>1.7264236959970167</v>
      </c>
      <c r="I32" s="25">
        <f>(D32-B32)/SQRT(((E32^2)+(C32^2)))</f>
        <v>3.8890300774496227</v>
      </c>
      <c r="J32" s="25">
        <f>IF(I32&gt;0,(1-NORMSDIST(I32)),(NORMSDIST(I32)))</f>
        <v>5.0322822767401298E-5</v>
      </c>
      <c r="K32" s="26" t="str">
        <f>IF(J32&lt;0.025,"Significativa","No significativa")</f>
        <v>Significativa</v>
      </c>
      <c r="N32" s="23" t="s">
        <v>29</v>
      </c>
      <c r="O32" s="30">
        <v>48.286808803570921</v>
      </c>
      <c r="P32" s="33">
        <v>1.6145499999999999</v>
      </c>
      <c r="Q32" s="42">
        <f>0.48391*100</f>
        <v>48.390999999999998</v>
      </c>
      <c r="R32" s="33">
        <f>0.0135466*100</f>
        <v>1.35466</v>
      </c>
      <c r="S32" s="24"/>
      <c r="T32" s="32">
        <f>Q32-O32</f>
        <v>0.10419119642907759</v>
      </c>
      <c r="U32" s="25">
        <f>SQRT(((R32^2)+(P32^2)))</f>
        <v>2.1075757206088706</v>
      </c>
      <c r="V32" s="25">
        <f>(Q32-O32)/SQRT(((R32^2)+(P32^2)))</f>
        <v>4.9436513910388544E-2</v>
      </c>
      <c r="W32" s="25">
        <f>IF(V32&gt;0,(1-NORMSDIST(V32)),(NORMSDIST(V32)))</f>
        <v>0.48028571491567207</v>
      </c>
      <c r="X32" s="26" t="str">
        <f>IF(W32&lt;0.025,"Significativa","No significativa")</f>
        <v>No 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9:X9"/>
    <mergeCell ref="A10:K10"/>
    <mergeCell ref="N10:X10"/>
    <mergeCell ref="A11:A12"/>
    <mergeCell ref="B11:C11"/>
    <mergeCell ref="D11:E11"/>
    <mergeCell ref="I11:I12"/>
    <mergeCell ref="J11:J12"/>
    <mergeCell ref="X11:X12"/>
    <mergeCell ref="G12:H12"/>
    <mergeCell ref="T12:U12"/>
    <mergeCell ref="K11:K12"/>
    <mergeCell ref="N11:N12"/>
    <mergeCell ref="O11:P11"/>
    <mergeCell ref="Q11:R11"/>
    <mergeCell ref="V11:V12"/>
    <mergeCell ref="W11:W1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5450-F43D-41A3-A82D-DEC9DFD96702}">
  <dimension ref="A4:X34"/>
  <sheetViews>
    <sheetView workbookViewId="0">
      <selection activeCell="N2" sqref="N2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57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56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38">
        <v>59.577968204246822</v>
      </c>
      <c r="C14" s="36">
        <f>0.0168972*100</f>
        <v>1.6897200000000001</v>
      </c>
      <c r="D14" s="38">
        <f>0.582833*100</f>
        <v>58.283300000000004</v>
      </c>
      <c r="E14" s="36">
        <f>0.0135924*100</f>
        <v>1.35924</v>
      </c>
      <c r="F14" s="4"/>
      <c r="G14" s="14">
        <f t="shared" ref="G14:G19" si="0">D14-B14</f>
        <v>-1.2946682042468183</v>
      </c>
      <c r="H14" s="15">
        <f t="shared" ref="H14:H19" si="1">SQRT(E14*E14+C14*C14)</f>
        <v>2.1685679735714998</v>
      </c>
      <c r="I14" s="15">
        <f t="shared" ref="I14:I19" si="2">G14/H14</f>
        <v>-0.59701527460749981</v>
      </c>
      <c r="J14" s="15">
        <f t="shared" ref="J14:J19" si="3">IF(I14&gt;0,(1-NORMSDIST(I14)),(NORMSDIST(I14)))</f>
        <v>0.27524859130485974</v>
      </c>
      <c r="K14" s="16" t="str">
        <f t="shared" ref="K14:K19" si="4">IF(J14&lt;0.025,"Significativa","No significativa")</f>
        <v>No significativa</v>
      </c>
      <c r="N14" s="13" t="s">
        <v>11</v>
      </c>
      <c r="O14" s="38">
        <v>48.378749523337902</v>
      </c>
      <c r="P14" s="36">
        <v>1.4876199999999999</v>
      </c>
      <c r="Q14" s="38">
        <f>0.582833*100</f>
        <v>58.283300000000004</v>
      </c>
      <c r="R14" s="36">
        <f>0.0135924*100</f>
        <v>1.35924</v>
      </c>
      <c r="S14" s="4"/>
      <c r="T14" s="14">
        <f t="shared" ref="T14:T19" si="5">Q14-O14</f>
        <v>9.9045504766621022</v>
      </c>
      <c r="U14" s="15">
        <f t="shared" ref="U14:U19" si="6">SQRT(R14*R14+P14*P14)</f>
        <v>2.0150798103301022</v>
      </c>
      <c r="V14" s="15">
        <f t="shared" ref="V14:V19" si="7">T14/U14</f>
        <v>4.915214983489701</v>
      </c>
      <c r="W14" s="15">
        <f t="shared" ref="W14:W19" si="8">IF(V14&gt;0,(1-NORMSDIST(V14)),(NORMSDIST(V14)))</f>
        <v>4.4342543004116663E-7</v>
      </c>
      <c r="X14" s="16" t="str">
        <f t="shared" ref="X14:X19" si="9">IF(W14&lt;0.025,"Significativa","No significativa")</f>
        <v>Significativa</v>
      </c>
    </row>
    <row r="15" spans="1:24" x14ac:dyDescent="0.25">
      <c r="A15" s="13" t="s">
        <v>12</v>
      </c>
      <c r="B15" s="38">
        <v>50.056567749625771</v>
      </c>
      <c r="C15" s="36">
        <f>0.0152604*100</f>
        <v>1.5260400000000001</v>
      </c>
      <c r="D15" s="38">
        <f>0.494361*100</f>
        <v>49.436099999999996</v>
      </c>
      <c r="E15" s="36">
        <f>0.0118311*100</f>
        <v>1.1831100000000001</v>
      </c>
      <c r="F15" s="4"/>
      <c r="G15" s="14">
        <f t="shared" si="0"/>
        <v>-0.62046774962577445</v>
      </c>
      <c r="H15" s="15">
        <f t="shared" si="1"/>
        <v>1.9309446790884508</v>
      </c>
      <c r="I15" s="15">
        <f t="shared" si="2"/>
        <v>-0.32132859959441268</v>
      </c>
      <c r="J15" s="15">
        <f t="shared" si="3"/>
        <v>0.37398069265524592</v>
      </c>
      <c r="K15" s="16" t="str">
        <f t="shared" si="4"/>
        <v>No significativa</v>
      </c>
      <c r="N15" s="13" t="s">
        <v>12</v>
      </c>
      <c r="O15" s="38">
        <v>45.25117189577788</v>
      </c>
      <c r="P15" s="36">
        <v>1.3684999999999998</v>
      </c>
      <c r="Q15" s="38">
        <f>0.494361*100</f>
        <v>49.436099999999996</v>
      </c>
      <c r="R15" s="36">
        <f>0.0118311*100</f>
        <v>1.1831100000000001</v>
      </c>
      <c r="S15" s="4"/>
      <c r="T15" s="14">
        <f t="shared" si="5"/>
        <v>4.1849281042221165</v>
      </c>
      <c r="U15" s="15">
        <f t="shared" si="6"/>
        <v>1.809016727976831</v>
      </c>
      <c r="V15" s="15">
        <f t="shared" si="7"/>
        <v>2.3133717004941454</v>
      </c>
      <c r="W15" s="15">
        <f t="shared" si="8"/>
        <v>1.0351105814045414E-2</v>
      </c>
      <c r="X15" s="16" t="str">
        <f t="shared" si="9"/>
        <v>Significativa</v>
      </c>
    </row>
    <row r="16" spans="1:24" x14ac:dyDescent="0.25">
      <c r="A16" s="13" t="s">
        <v>13</v>
      </c>
      <c r="B16" s="38">
        <v>9.5214004546210571</v>
      </c>
      <c r="C16" s="36">
        <f>0.0103609*100</f>
        <v>1.03609</v>
      </c>
      <c r="D16" s="38">
        <f>0.0884721*100</f>
        <v>8.8472100000000005</v>
      </c>
      <c r="E16" s="36">
        <f>0.0071851*100</f>
        <v>0.71850999999999998</v>
      </c>
      <c r="F16" s="4"/>
      <c r="G16" s="14">
        <f t="shared" si="0"/>
        <v>-0.67419045462105665</v>
      </c>
      <c r="H16" s="15">
        <f t="shared" si="1"/>
        <v>1.2608485667200482</v>
      </c>
      <c r="I16" s="15">
        <f t="shared" si="2"/>
        <v>-0.53471167943259446</v>
      </c>
      <c r="J16" s="15">
        <f t="shared" si="3"/>
        <v>0.29642462199707287</v>
      </c>
      <c r="K16" s="16" t="str">
        <f t="shared" si="4"/>
        <v>No significativa</v>
      </c>
      <c r="N16" s="13" t="s">
        <v>13</v>
      </c>
      <c r="O16" s="38">
        <v>3.1275776275600222</v>
      </c>
      <c r="P16" s="36">
        <v>0.43198999999999999</v>
      </c>
      <c r="Q16" s="38">
        <f>0.0884721*100</f>
        <v>8.8472100000000005</v>
      </c>
      <c r="R16" s="36">
        <f>0.0071851*100</f>
        <v>0.71850999999999998</v>
      </c>
      <c r="S16" s="4"/>
      <c r="T16" s="14">
        <f t="shared" si="5"/>
        <v>5.7196323724399782</v>
      </c>
      <c r="U16" s="15">
        <f t="shared" si="6"/>
        <v>0.83837460612783354</v>
      </c>
      <c r="V16" s="15">
        <f t="shared" si="7"/>
        <v>6.8222872336949827</v>
      </c>
      <c r="W16" s="15">
        <f t="shared" si="8"/>
        <v>4.4800829712698942E-12</v>
      </c>
      <c r="X16" s="16" t="str">
        <f t="shared" si="9"/>
        <v>Significativa</v>
      </c>
    </row>
    <row r="17" spans="1:24" x14ac:dyDescent="0.25">
      <c r="A17" s="13" t="s">
        <v>14</v>
      </c>
      <c r="B17" s="38">
        <v>23.575497588290737</v>
      </c>
      <c r="C17" s="36">
        <f>0.0130738*100</f>
        <v>1.30738</v>
      </c>
      <c r="D17" s="38">
        <f>0.208484*100</f>
        <v>20.848400000000002</v>
      </c>
      <c r="E17" s="36">
        <f>0.0088728*100</f>
        <v>0.88728000000000007</v>
      </c>
      <c r="F17" s="4"/>
      <c r="G17" s="14">
        <f t="shared" si="0"/>
        <v>-2.7270975882907358</v>
      </c>
      <c r="H17" s="15">
        <f t="shared" si="1"/>
        <v>1.5800342600083075</v>
      </c>
      <c r="I17" s="15">
        <f t="shared" si="2"/>
        <v>-1.7259737065931704</v>
      </c>
      <c r="J17" s="15">
        <f t="shared" si="3"/>
        <v>4.2176071574268947E-2</v>
      </c>
      <c r="K17" s="16" t="str">
        <f t="shared" si="4"/>
        <v>No significativa</v>
      </c>
      <c r="N17" s="13" t="s">
        <v>14</v>
      </c>
      <c r="O17" s="38">
        <v>28.614784353945865</v>
      </c>
      <c r="P17" s="36">
        <v>1.1350799999999999</v>
      </c>
      <c r="Q17" s="38">
        <f>0.208484*100</f>
        <v>20.848400000000002</v>
      </c>
      <c r="R17" s="36">
        <f>0.0088728*100</f>
        <v>0.88728000000000007</v>
      </c>
      <c r="S17" s="4"/>
      <c r="T17" s="14">
        <f t="shared" si="5"/>
        <v>-7.7663843539458632</v>
      </c>
      <c r="U17" s="15">
        <f t="shared" si="6"/>
        <v>1.4407194052972285</v>
      </c>
      <c r="V17" s="15">
        <f t="shared" si="7"/>
        <v>-5.3906293795936024</v>
      </c>
      <c r="W17" s="15">
        <f t="shared" si="8"/>
        <v>3.5105672437821601E-8</v>
      </c>
      <c r="X17" s="16" t="str">
        <f t="shared" si="9"/>
        <v>Significativa</v>
      </c>
    </row>
    <row r="18" spans="1:24" x14ac:dyDescent="0.25">
      <c r="A18" s="13" t="s">
        <v>15</v>
      </c>
      <c r="B18" s="38">
        <v>5.5888590120308255</v>
      </c>
      <c r="C18" s="36">
        <f>0.0061088*100</f>
        <v>0.61087999999999998</v>
      </c>
      <c r="D18" s="38">
        <f>0.0820371*100</f>
        <v>8.2037100000000009</v>
      </c>
      <c r="E18" s="36">
        <f>0.0066142*100</f>
        <v>0.66142000000000001</v>
      </c>
      <c r="F18" s="4"/>
      <c r="G18" s="14">
        <f t="shared" si="0"/>
        <v>2.6148509879691755</v>
      </c>
      <c r="H18" s="15">
        <f t="shared" si="1"/>
        <v>0.90036147785209031</v>
      </c>
      <c r="I18" s="15">
        <f t="shared" si="2"/>
        <v>2.9042235283179654</v>
      </c>
      <c r="J18" s="15">
        <f t="shared" si="3"/>
        <v>1.8408260230273754E-3</v>
      </c>
      <c r="K18" s="16" t="str">
        <f t="shared" si="4"/>
        <v>Significativa</v>
      </c>
      <c r="N18" s="13" t="s">
        <v>15</v>
      </c>
      <c r="O18" s="38">
        <v>7.6359582650024018</v>
      </c>
      <c r="P18" s="36">
        <v>0.67692000000000008</v>
      </c>
      <c r="Q18" s="38">
        <f>0.0820371*100</f>
        <v>8.2037100000000009</v>
      </c>
      <c r="R18" s="36">
        <f>0.0066142*100</f>
        <v>0.66142000000000001</v>
      </c>
      <c r="S18" s="4"/>
      <c r="T18" s="14">
        <f t="shared" si="5"/>
        <v>0.56775173499759912</v>
      </c>
      <c r="U18" s="15">
        <f t="shared" si="6"/>
        <v>0.94641275498589938</v>
      </c>
      <c r="V18" s="15">
        <f t="shared" si="7"/>
        <v>0.59989865099193218</v>
      </c>
      <c r="W18" s="15">
        <f t="shared" si="8"/>
        <v>0.27428689075983048</v>
      </c>
      <c r="X18" s="16" t="str">
        <f t="shared" si="9"/>
        <v>No significativa</v>
      </c>
    </row>
    <row r="19" spans="1:24" x14ac:dyDescent="0.25">
      <c r="A19" s="13" t="s">
        <v>16</v>
      </c>
      <c r="B19" s="38">
        <v>11.257675195431613</v>
      </c>
      <c r="C19" s="36">
        <f>0.0086435*100</f>
        <v>0.86435000000000006</v>
      </c>
      <c r="D19" s="38">
        <f>0.126646*100</f>
        <v>12.6646</v>
      </c>
      <c r="E19" s="36">
        <f>0.008533*100</f>
        <v>0.85330000000000006</v>
      </c>
      <c r="F19" s="4"/>
      <c r="G19" s="14">
        <f t="shared" si="0"/>
        <v>1.4069248045683871</v>
      </c>
      <c r="H19" s="15">
        <f t="shared" si="1"/>
        <v>1.2145870954773068</v>
      </c>
      <c r="I19" s="15">
        <f t="shared" si="2"/>
        <v>1.1583564569451446</v>
      </c>
      <c r="J19" s="15">
        <f t="shared" si="3"/>
        <v>0.12335930038314191</v>
      </c>
      <c r="K19" s="16" t="str">
        <f t="shared" si="4"/>
        <v>No significativa</v>
      </c>
      <c r="N19" s="13" t="s">
        <v>16</v>
      </c>
      <c r="O19" s="38">
        <v>15.370507857713836</v>
      </c>
      <c r="P19" s="36">
        <v>0.94041000000000008</v>
      </c>
      <c r="Q19" s="38">
        <f>0.126646*100</f>
        <v>12.6646</v>
      </c>
      <c r="R19" s="36">
        <f>0.008533*100</f>
        <v>0.85330000000000006</v>
      </c>
      <c r="S19" s="4"/>
      <c r="T19" s="14">
        <f t="shared" si="5"/>
        <v>-2.7059078577138358</v>
      </c>
      <c r="U19" s="15">
        <f t="shared" si="6"/>
        <v>1.2698393040459885</v>
      </c>
      <c r="V19" s="15">
        <f t="shared" si="7"/>
        <v>-2.1309057367276441</v>
      </c>
      <c r="W19" s="15">
        <f t="shared" si="8"/>
        <v>1.6548454343918589E-2</v>
      </c>
      <c r="X19" s="16" t="str">
        <f t="shared" si="9"/>
        <v>Significativa</v>
      </c>
    </row>
    <row r="20" spans="1:24" x14ac:dyDescent="0.25">
      <c r="A20" s="17" t="s">
        <v>17</v>
      </c>
      <c r="B20" s="38"/>
      <c r="C20" s="36"/>
      <c r="D20" s="38"/>
      <c r="E20" s="36"/>
      <c r="F20" s="4"/>
      <c r="G20" s="14"/>
      <c r="H20" s="15"/>
      <c r="I20" s="15"/>
      <c r="J20" s="15"/>
      <c r="K20" s="16"/>
      <c r="N20" s="17" t="s">
        <v>17</v>
      </c>
      <c r="O20" s="38"/>
      <c r="P20" s="36"/>
      <c r="Q20" s="38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38">
        <v>83.15346579253756</v>
      </c>
      <c r="C21" s="36">
        <f>0.0105952*100</f>
        <v>1.05952</v>
      </c>
      <c r="D21" s="38">
        <f>0.791317*100</f>
        <v>79.131700000000009</v>
      </c>
      <c r="E21" s="36">
        <f>0.0109183*100</f>
        <v>1.0918300000000001</v>
      </c>
      <c r="F21" s="4"/>
      <c r="G21" s="14">
        <f>D21-B21</f>
        <v>-4.0217657925375505</v>
      </c>
      <c r="H21" s="15">
        <f>SQRT(E21*E21+C21*C21)</f>
        <v>1.5214057247493189</v>
      </c>
      <c r="I21" s="15">
        <f>G21/H21</f>
        <v>-2.6434538316202367</v>
      </c>
      <c r="J21" s="15">
        <f>IF(I21&gt;0,(1-NORMSDIST(I21)),(NORMSDIST(I21)))</f>
        <v>4.1032478282046021E-3</v>
      </c>
      <c r="K21" s="16" t="str">
        <f>IF(J21&lt;0.025,"Significativa","No significativa")</f>
        <v>Significativa</v>
      </c>
      <c r="N21" s="18" t="s">
        <v>18</v>
      </c>
      <c r="O21" s="38">
        <v>76.993533877283767</v>
      </c>
      <c r="P21" s="36">
        <v>1.18398</v>
      </c>
      <c r="Q21" s="38">
        <f>0.791317*100</f>
        <v>79.131700000000009</v>
      </c>
      <c r="R21" s="36">
        <f>0.0109183*100</f>
        <v>1.0918300000000001</v>
      </c>
      <c r="S21" s="4"/>
      <c r="T21" s="14">
        <f>Q21-O21</f>
        <v>2.1381661227162425</v>
      </c>
      <c r="U21" s="15">
        <f>SQRT(R21*R21+P21*P21)</f>
        <v>1.6105593405087564</v>
      </c>
      <c r="V21" s="15">
        <f>T21/U21</f>
        <v>1.3275922649585961</v>
      </c>
      <c r="W21" s="15">
        <f>IF(V21&gt;0,(1-NORMSDIST(V21)),(NORMSDIST(V21)))</f>
        <v>9.2156420623017543E-2</v>
      </c>
      <c r="X21" s="16" t="str">
        <f>IF(W21&lt;0.025,"Significativa","No significativa")</f>
        <v>No significativa</v>
      </c>
    </row>
    <row r="22" spans="1:24" x14ac:dyDescent="0.25">
      <c r="A22" s="18" t="s">
        <v>19</v>
      </c>
      <c r="B22" s="38">
        <v>29.094967982480458</v>
      </c>
      <c r="C22" s="36">
        <f>0.0160573*100</f>
        <v>1.6057300000000001</v>
      </c>
      <c r="D22" s="38">
        <f>0.178604*100</f>
        <v>17.860400000000002</v>
      </c>
      <c r="E22" s="36">
        <f>0.0105017*100</f>
        <v>1.0501699999999998</v>
      </c>
      <c r="F22" s="4"/>
      <c r="G22" s="14">
        <f>D22-B22</f>
        <v>-11.234567982480456</v>
      </c>
      <c r="H22" s="15">
        <f>SQRT(E22*E22+C22*C22)</f>
        <v>1.91865209503964</v>
      </c>
      <c r="I22" s="15">
        <f>G22/H22</f>
        <v>-5.8554482136316359</v>
      </c>
      <c r="J22" s="15">
        <f>IF(I22&gt;0,(1-NORMSDIST(I22)),(NORMSDIST(I22)))</f>
        <v>2.3786262301158033E-9</v>
      </c>
      <c r="K22" s="16" t="str">
        <f>IF(J22&lt;0.025,"Significativa","No significativa")</f>
        <v>Significativa</v>
      </c>
      <c r="N22" s="18" t="s">
        <v>19</v>
      </c>
      <c r="O22" s="38">
        <v>13.502516850801205</v>
      </c>
      <c r="P22" s="36">
        <v>0.95318000000000003</v>
      </c>
      <c r="Q22" s="38">
        <f>0.178604*100</f>
        <v>17.860400000000002</v>
      </c>
      <c r="R22" s="36">
        <f>0.0105017*100</f>
        <v>1.0501699999999998</v>
      </c>
      <c r="S22" s="4"/>
      <c r="T22" s="14">
        <f>Q22-O22</f>
        <v>4.3578831491987966</v>
      </c>
      <c r="U22" s="15">
        <f>SQRT(R22*R22+P22*P22)</f>
        <v>1.4182415666239654</v>
      </c>
      <c r="V22" s="15">
        <f>T22/U22</f>
        <v>3.0727368677907689</v>
      </c>
      <c r="W22" s="15">
        <f>IF(V22&gt;0,(1-NORMSDIST(V22)),(NORMSDIST(V22)))</f>
        <v>1.0605271270039962E-3</v>
      </c>
      <c r="X22" s="16" t="str">
        <f>IF(W22&lt;0.025,"Significativa","No significativa")</f>
        <v>Significativa</v>
      </c>
    </row>
    <row r="23" spans="1:24" x14ac:dyDescent="0.25">
      <c r="A23" s="19" t="s">
        <v>20</v>
      </c>
      <c r="B23" s="38"/>
      <c r="C23" s="36"/>
      <c r="D23" s="38"/>
      <c r="E23" s="36"/>
      <c r="F23" s="4"/>
      <c r="G23" s="14"/>
      <c r="H23" s="15"/>
      <c r="I23" s="15"/>
      <c r="J23" s="15"/>
      <c r="K23" s="16"/>
      <c r="N23" s="19" t="s">
        <v>20</v>
      </c>
      <c r="O23" s="38"/>
      <c r="P23" s="36"/>
      <c r="Q23" s="38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38">
        <v>17.720518933303765</v>
      </c>
      <c r="C24" s="36">
        <f>0.0065759*100</f>
        <v>0.65759000000000001</v>
      </c>
      <c r="D24" s="38">
        <f>0.125671*100</f>
        <v>12.5671</v>
      </c>
      <c r="E24" s="36">
        <f>0.0059355*100</f>
        <v>0.59355000000000002</v>
      </c>
      <c r="F24" s="4"/>
      <c r="G24" s="14">
        <f t="shared" ref="G24:G29" si="10">D24-B24</f>
        <v>-5.1534189333037652</v>
      </c>
      <c r="H24" s="15">
        <f t="shared" ref="H24:H29" si="11">SQRT(E24*E24+C24*C24)</f>
        <v>0.88584773556181762</v>
      </c>
      <c r="I24" s="15">
        <f t="shared" ref="I24:I29" si="12">G24/H24</f>
        <v>-5.8174996970956769</v>
      </c>
      <c r="J24" s="15">
        <f t="shared" ref="J24:J29" si="13">IF(I24&gt;0,(1-NORMSDIST(I24)),(NORMSDIST(I24)))</f>
        <v>2.9867185176185245E-9</v>
      </c>
      <c r="K24" s="16" t="str">
        <f t="shared" ref="K24:K29" si="14">IF(J24&lt;0.025,"Significativa","No significativa")</f>
        <v>Significativa</v>
      </c>
      <c r="N24" s="20" t="s">
        <v>21</v>
      </c>
      <c r="O24" s="38">
        <v>13.116991795793087</v>
      </c>
      <c r="P24" s="36">
        <v>0.74419999999999997</v>
      </c>
      <c r="Q24" s="38">
        <f>0.125671*100</f>
        <v>12.5671</v>
      </c>
      <c r="R24" s="36">
        <f>0.0059355*100</f>
        <v>0.59355000000000002</v>
      </c>
      <c r="S24" s="4"/>
      <c r="T24" s="14">
        <f t="shared" ref="T24:T29" si="15">Q24-O24</f>
        <v>-0.54989179579308711</v>
      </c>
      <c r="U24" s="15">
        <f t="shared" ref="U24:U29" si="16">SQRT(R24*R24+P24*P24)</f>
        <v>0.95191136273289645</v>
      </c>
      <c r="V24" s="15">
        <f t="shared" ref="V24:V29" si="17">T24/U24</f>
        <v>-0.57767121742760952</v>
      </c>
      <c r="W24" s="15">
        <f t="shared" ref="W24:W29" si="18">IF(V24&gt;0,(1-NORMSDIST(V24)),(NORMSDIST(V24)))</f>
        <v>0.28174305749898099</v>
      </c>
      <c r="X24" s="16" t="str">
        <f t="shared" ref="X24:X29" si="19">IF(W24&lt;0.025,"Significativa","No significativa")</f>
        <v>No significativa</v>
      </c>
    </row>
    <row r="25" spans="1:24" x14ac:dyDescent="0.25">
      <c r="A25" s="18" t="s">
        <v>22</v>
      </c>
      <c r="B25" s="38">
        <v>44.581190746798249</v>
      </c>
      <c r="C25" s="36">
        <f>0.0161874*100</f>
        <v>1.6187400000000001</v>
      </c>
      <c r="D25" s="38">
        <f>0.27562*100</f>
        <v>27.561999999999998</v>
      </c>
      <c r="E25" s="36">
        <f>0.0096032*100</f>
        <v>0.96031999999999995</v>
      </c>
      <c r="F25" s="4"/>
      <c r="G25" s="14">
        <f t="shared" si="10"/>
        <v>-17.019190746798252</v>
      </c>
      <c r="H25" s="15">
        <f t="shared" si="11"/>
        <v>1.8821619723073781</v>
      </c>
      <c r="I25" s="15">
        <f t="shared" si="12"/>
        <v>-9.0423624519063583</v>
      </c>
      <c r="J25" s="15">
        <f t="shared" si="13"/>
        <v>7.666087552719197E-20</v>
      </c>
      <c r="K25" s="16" t="str">
        <f t="shared" si="14"/>
        <v>Significativa</v>
      </c>
      <c r="N25" s="18" t="s">
        <v>22</v>
      </c>
      <c r="O25" s="38">
        <v>13.736633795399023</v>
      </c>
      <c r="P25" s="36">
        <v>0.65189999999999992</v>
      </c>
      <c r="Q25" s="38">
        <f>0.27562*100</f>
        <v>27.561999999999998</v>
      </c>
      <c r="R25" s="36">
        <f>0.0096032*100</f>
        <v>0.96031999999999995</v>
      </c>
      <c r="S25" s="4"/>
      <c r="T25" s="14">
        <f t="shared" si="15"/>
        <v>13.825366204600975</v>
      </c>
      <c r="U25" s="15">
        <f t="shared" si="16"/>
        <v>1.1606843293505775</v>
      </c>
      <c r="V25" s="15">
        <f t="shared" si="17"/>
        <v>11.911392145990719</v>
      </c>
      <c r="W25" s="15">
        <f t="shared" si="18"/>
        <v>0</v>
      </c>
      <c r="X25" s="16" t="str">
        <f t="shared" si="19"/>
        <v>Significativa</v>
      </c>
    </row>
    <row r="26" spans="1:24" x14ac:dyDescent="0.25">
      <c r="A26" s="18" t="s">
        <v>23</v>
      </c>
      <c r="B26" s="38">
        <v>74.918743416310917</v>
      </c>
      <c r="C26" s="36">
        <f>0.0124456*100</f>
        <v>1.2445599999999999</v>
      </c>
      <c r="D26" s="38">
        <f>0.680678*100</f>
        <v>68.067800000000005</v>
      </c>
      <c r="E26" s="36">
        <f>0.0123986*100</f>
        <v>1.23986</v>
      </c>
      <c r="F26" s="4"/>
      <c r="G26" s="14">
        <f t="shared" si="10"/>
        <v>-6.850943416310912</v>
      </c>
      <c r="H26" s="15">
        <f t="shared" si="11"/>
        <v>1.7567533729012732</v>
      </c>
      <c r="I26" s="15">
        <f t="shared" si="12"/>
        <v>-3.899775302549497</v>
      </c>
      <c r="J26" s="15">
        <f t="shared" si="13"/>
        <v>4.814100095920638E-5</v>
      </c>
      <c r="K26" s="16" t="str">
        <f t="shared" si="14"/>
        <v>Significativa</v>
      </c>
      <c r="N26" s="18" t="s">
        <v>23</v>
      </c>
      <c r="O26" s="38">
        <v>67.784909083962205</v>
      </c>
      <c r="P26" s="36">
        <v>1.35286</v>
      </c>
      <c r="Q26" s="38">
        <f>0.680678*100</f>
        <v>68.067800000000005</v>
      </c>
      <c r="R26" s="36">
        <f>0.0123986*100</f>
        <v>1.23986</v>
      </c>
      <c r="S26" s="4"/>
      <c r="T26" s="14">
        <f t="shared" si="15"/>
        <v>0.28289091603780037</v>
      </c>
      <c r="U26" s="15">
        <f t="shared" si="16"/>
        <v>1.8350702981629887</v>
      </c>
      <c r="V26" s="15">
        <f t="shared" si="17"/>
        <v>0.1541580812032054</v>
      </c>
      <c r="W26" s="15">
        <f t="shared" si="18"/>
        <v>0.4387425466873347</v>
      </c>
      <c r="X26" s="16" t="str">
        <f t="shared" si="19"/>
        <v>No significativa</v>
      </c>
    </row>
    <row r="27" spans="1:24" x14ac:dyDescent="0.25">
      <c r="A27" s="18" t="s">
        <v>24</v>
      </c>
      <c r="B27" s="38">
        <v>13.37467774574486</v>
      </c>
      <c r="C27" s="36">
        <f>0.0127803*100</f>
        <v>1.27803</v>
      </c>
      <c r="D27" s="38">
        <f>0.081646*100</f>
        <v>8.1646000000000001</v>
      </c>
      <c r="E27" s="36">
        <f>0.0077779*100</f>
        <v>0.77778999999999998</v>
      </c>
      <c r="F27" s="4"/>
      <c r="G27" s="14">
        <f t="shared" si="10"/>
        <v>-5.2100777457448597</v>
      </c>
      <c r="H27" s="15">
        <f t="shared" si="11"/>
        <v>1.4961009207269409</v>
      </c>
      <c r="I27" s="15">
        <f t="shared" si="12"/>
        <v>-3.4824373633921257</v>
      </c>
      <c r="J27" s="15">
        <f t="shared" si="13"/>
        <v>2.4843572240704432E-4</v>
      </c>
      <c r="K27" s="16" t="str">
        <f t="shared" si="14"/>
        <v>Significativa</v>
      </c>
      <c r="N27" s="18" t="s">
        <v>24</v>
      </c>
      <c r="O27" s="38">
        <v>8.7140948889087007</v>
      </c>
      <c r="P27" s="36">
        <v>0.9470900000000001</v>
      </c>
      <c r="Q27" s="38">
        <f>0.081646*100</f>
        <v>8.1646000000000001</v>
      </c>
      <c r="R27" s="36">
        <f>0.0077779*100</f>
        <v>0.77778999999999998</v>
      </c>
      <c r="S27" s="4"/>
      <c r="T27" s="14">
        <f t="shared" si="15"/>
        <v>-0.54949488890870057</v>
      </c>
      <c r="U27" s="15">
        <f t="shared" si="16"/>
        <v>1.2255352921070859</v>
      </c>
      <c r="V27" s="15">
        <f t="shared" si="17"/>
        <v>-0.44837133002016094</v>
      </c>
      <c r="W27" s="15">
        <f t="shared" si="18"/>
        <v>0.3269426146937926</v>
      </c>
      <c r="X27" s="16" t="str">
        <f t="shared" si="19"/>
        <v>No significativa</v>
      </c>
    </row>
    <row r="28" spans="1:24" x14ac:dyDescent="0.25">
      <c r="A28" s="18" t="s">
        <v>25</v>
      </c>
      <c r="B28" s="38">
        <v>12.38790403060376</v>
      </c>
      <c r="C28" s="36">
        <f>0.0139481*100</f>
        <v>1.3948099999999999</v>
      </c>
      <c r="D28" s="38">
        <f>0.0769647*100</f>
        <v>7.6964699999999997</v>
      </c>
      <c r="E28" s="36">
        <f>0.0076195*100</f>
        <v>0.76195000000000002</v>
      </c>
      <c r="F28" s="4"/>
      <c r="G28" s="14">
        <f t="shared" si="10"/>
        <v>-4.6914340306037605</v>
      </c>
      <c r="H28" s="15">
        <f t="shared" si="11"/>
        <v>1.5893592226428861</v>
      </c>
      <c r="I28" s="15">
        <f t="shared" si="12"/>
        <v>-2.9517770204287426</v>
      </c>
      <c r="J28" s="15">
        <f t="shared" si="13"/>
        <v>1.5797549855502573E-3</v>
      </c>
      <c r="K28" s="16" t="str">
        <f t="shared" si="14"/>
        <v>Significativa</v>
      </c>
      <c r="N28" s="18" t="s">
        <v>25</v>
      </c>
      <c r="O28" s="38">
        <v>10.130333839525383</v>
      </c>
      <c r="P28" s="36">
        <v>1.24041</v>
      </c>
      <c r="Q28" s="38">
        <f>0.0769647*100</f>
        <v>7.6964699999999997</v>
      </c>
      <c r="R28" s="36">
        <f>0.0076195*100</f>
        <v>0.76195000000000002</v>
      </c>
      <c r="S28" s="4"/>
      <c r="T28" s="14">
        <f t="shared" si="15"/>
        <v>-2.4338638395253831</v>
      </c>
      <c r="U28" s="15">
        <f t="shared" si="16"/>
        <v>1.4557420000123649</v>
      </c>
      <c r="V28" s="15">
        <f t="shared" si="17"/>
        <v>-1.6719060379550155</v>
      </c>
      <c r="W28" s="15">
        <f t="shared" si="18"/>
        <v>4.7271425991009551E-2</v>
      </c>
      <c r="X28" s="16" t="str">
        <f t="shared" si="19"/>
        <v>No significativa</v>
      </c>
    </row>
    <row r="29" spans="1:24" x14ac:dyDescent="0.25">
      <c r="A29" s="18" t="s">
        <v>26</v>
      </c>
      <c r="B29" s="38">
        <v>24.799630620391415</v>
      </c>
      <c r="C29" s="36">
        <f>0.0166222*100</f>
        <v>1.66222</v>
      </c>
      <c r="D29" s="38">
        <f>0.271679*100</f>
        <v>27.167899999999999</v>
      </c>
      <c r="E29" s="36">
        <f>0.0129539*100</f>
        <v>1.29539</v>
      </c>
      <c r="F29" s="4"/>
      <c r="G29" s="14">
        <f t="shared" si="10"/>
        <v>2.3682693796085843</v>
      </c>
      <c r="H29" s="15">
        <f t="shared" si="11"/>
        <v>2.1073705370674611</v>
      </c>
      <c r="I29" s="15">
        <f t="shared" si="12"/>
        <v>1.1238030227489944</v>
      </c>
      <c r="J29" s="15">
        <f t="shared" si="13"/>
        <v>0.13054829943443735</v>
      </c>
      <c r="K29" s="16" t="str">
        <f t="shared" si="14"/>
        <v>No significativa</v>
      </c>
      <c r="N29" s="18" t="s">
        <v>26</v>
      </c>
      <c r="O29" s="38">
        <v>20.235944929701237</v>
      </c>
      <c r="P29" s="36">
        <v>1.11819</v>
      </c>
      <c r="Q29" s="38">
        <f>0.271679*100</f>
        <v>27.167899999999999</v>
      </c>
      <c r="R29" s="36">
        <f>0.0129539*100</f>
        <v>1.29539</v>
      </c>
      <c r="S29" s="4"/>
      <c r="T29" s="14">
        <f t="shared" si="15"/>
        <v>6.9319550702987627</v>
      </c>
      <c r="U29" s="15">
        <f t="shared" si="16"/>
        <v>1.7112522105756358</v>
      </c>
      <c r="V29" s="15">
        <f t="shared" si="17"/>
        <v>4.0508085409379673</v>
      </c>
      <c r="W29" s="15">
        <f t="shared" si="18"/>
        <v>2.5520479292495679E-5</v>
      </c>
      <c r="X29" s="16" t="str">
        <f t="shared" si="19"/>
        <v>Significativa</v>
      </c>
    </row>
    <row r="30" spans="1:24" x14ac:dyDescent="0.25">
      <c r="A30" s="8" t="s">
        <v>27</v>
      </c>
      <c r="B30" s="38"/>
      <c r="C30" s="36"/>
      <c r="D30" s="38"/>
      <c r="E30" s="36"/>
      <c r="F30" s="4"/>
      <c r="G30" s="14"/>
      <c r="H30" s="15"/>
      <c r="I30" s="15"/>
      <c r="J30" s="15"/>
      <c r="K30" s="16"/>
      <c r="N30" s="8" t="s">
        <v>27</v>
      </c>
      <c r="O30" s="38"/>
      <c r="P30" s="36"/>
      <c r="Q30" s="38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38">
        <v>21.734403587071021</v>
      </c>
      <c r="C31" s="36">
        <f>0.0161631*100</f>
        <v>1.6163099999999999</v>
      </c>
      <c r="D31" s="38">
        <f>0.297999*100</f>
        <v>29.799900000000001</v>
      </c>
      <c r="E31" s="36">
        <f>0.0125077*100</f>
        <v>1.2507699999999999</v>
      </c>
      <c r="F31" s="22"/>
      <c r="G31" s="14">
        <f>D31-B31</f>
        <v>8.0654964129289795</v>
      </c>
      <c r="H31" s="15">
        <f>SQRT(((E31^2)+(C31^2)))</f>
        <v>2.0437425495888664</v>
      </c>
      <c r="I31" s="15">
        <f>(D31-B31)/SQRT(((E31^2)+(C31^2)))</f>
        <v>3.9464346497808598</v>
      </c>
      <c r="J31" s="15">
        <f>IF(I31&gt;0,(1-NORMSDIST(I31)),(NORMSDIST(I31)))</f>
        <v>3.966177959136008E-5</v>
      </c>
      <c r="K31" s="16" t="str">
        <f>IF(J31&lt;0.025,"Significativa","No significativa")</f>
        <v>Significativa</v>
      </c>
      <c r="N31" s="21" t="s">
        <v>28</v>
      </c>
      <c r="O31" s="38">
        <v>14.914785178037507</v>
      </c>
      <c r="P31" s="36">
        <v>1.0512600000000001</v>
      </c>
      <c r="Q31" s="38">
        <f>0.297999*100</f>
        <v>29.799900000000001</v>
      </c>
      <c r="R31" s="36">
        <f>0.0125077*100</f>
        <v>1.2507699999999999</v>
      </c>
      <c r="S31" s="22"/>
      <c r="T31" s="14">
        <f>Q31-O31</f>
        <v>14.885114821962494</v>
      </c>
      <c r="U31" s="15">
        <f>SQRT(((R31^2)+(P31^2)))</f>
        <v>1.6338828539708714</v>
      </c>
      <c r="V31" s="15">
        <f>(Q31-O31)/SQRT(((R31^2)+(P31^2)))</f>
        <v>9.1102705348714448</v>
      </c>
      <c r="W31" s="15">
        <f>IF(V31&gt;0,(1-NORMSDIST(V31)),(NORMSDIST(V31)))</f>
        <v>0</v>
      </c>
      <c r="X31" s="16" t="str">
        <f>IF(W31&lt;0.025,"Significativa","No significativa")</f>
        <v>Significativa</v>
      </c>
    </row>
    <row r="32" spans="1:24" ht="15.75" thickBot="1" x14ac:dyDescent="0.3">
      <c r="A32" s="23" t="s">
        <v>29</v>
      </c>
      <c r="B32" s="35">
        <v>65.166827216277653</v>
      </c>
      <c r="C32" s="33">
        <f>0.0164184*100</f>
        <v>1.64184</v>
      </c>
      <c r="D32" s="42">
        <f>0.66487*100</f>
        <v>66.486999999999995</v>
      </c>
      <c r="E32" s="33">
        <f>0.0124304*100</f>
        <v>1.2430399999999999</v>
      </c>
      <c r="F32" s="24"/>
      <c r="G32" s="32">
        <f>D32-B32</f>
        <v>1.3201727837223416</v>
      </c>
      <c r="H32" s="25">
        <f>SQRT(((E32^2)+(C32^2)))</f>
        <v>2.0593171264280787</v>
      </c>
      <c r="I32" s="25">
        <f>(D32-B32)/SQRT(((E32^2)+(C32^2)))</f>
        <v>0.64107308523782547</v>
      </c>
      <c r="J32" s="25">
        <f>IF(I32&gt;0,(1-NORMSDIST(I32)),(NORMSDIST(I32)))</f>
        <v>0.26073759999557711</v>
      </c>
      <c r="K32" s="26" t="str">
        <f>IF(J32&lt;0.025,"Significativa","No significativa")</f>
        <v>No significativa</v>
      </c>
      <c r="N32" s="23" t="s">
        <v>29</v>
      </c>
      <c r="O32" s="35">
        <v>56.014707788340303</v>
      </c>
      <c r="P32" s="33">
        <v>1.4540199999999999</v>
      </c>
      <c r="Q32" s="42">
        <f>0.66487*100</f>
        <v>66.486999999999995</v>
      </c>
      <c r="R32" s="33">
        <f>0.0124304*100</f>
        <v>1.2430399999999999</v>
      </c>
      <c r="S32" s="24"/>
      <c r="T32" s="32">
        <f>Q32-O32</f>
        <v>10.472292211659692</v>
      </c>
      <c r="U32" s="25">
        <f>SQRT(((R32^2)+(P32^2)))</f>
        <v>1.9129355979750076</v>
      </c>
      <c r="V32" s="25">
        <f>(Q32-O32)/SQRT(((R32^2)+(P32^2)))</f>
        <v>5.4744614626574126</v>
      </c>
      <c r="W32" s="25">
        <f>IF(V32&gt;0,(1-NORMSDIST(V32)),(NORMSDIST(V32)))</f>
        <v>2.1942206274161435E-8</v>
      </c>
      <c r="X32" s="26" t="str">
        <f>IF(W32&lt;0.025,"Significativa","No significativa")</f>
        <v>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9:X9"/>
    <mergeCell ref="A10:K10"/>
    <mergeCell ref="N10:X10"/>
    <mergeCell ref="A11:A12"/>
    <mergeCell ref="B11:C11"/>
    <mergeCell ref="D11:E11"/>
    <mergeCell ref="I11:I12"/>
    <mergeCell ref="J11:J12"/>
    <mergeCell ref="X11:X12"/>
    <mergeCell ref="G12:H12"/>
    <mergeCell ref="T12:U12"/>
    <mergeCell ref="K11:K12"/>
    <mergeCell ref="N11:N12"/>
    <mergeCell ref="O11:P11"/>
    <mergeCell ref="Q11:R11"/>
    <mergeCell ref="V11:V12"/>
    <mergeCell ref="W11:W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1D5E-34AA-468F-BF10-7A4F5D73FE45}">
  <dimension ref="A4:Y34"/>
  <sheetViews>
    <sheetView zoomScaleNormal="100" workbookViewId="0">
      <selection activeCell="E37" sqref="E37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93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92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21.36131</v>
      </c>
      <c r="E14" s="46">
        <v>1.9040299999999999</v>
      </c>
      <c r="F14" s="46">
        <v>27.351730000000003</v>
      </c>
      <c r="G14" s="46">
        <v>1.0543</v>
      </c>
      <c r="H14" s="46"/>
      <c r="I14" s="46">
        <f>F14-D14</f>
        <v>5.9904200000000039</v>
      </c>
      <c r="J14" s="15">
        <f>SQRT(G14*G14+E14*E14)</f>
        <v>2.176437164473167</v>
      </c>
      <c r="K14" s="15">
        <f>I14/J14</f>
        <v>2.752397403326853</v>
      </c>
      <c r="L14" s="15">
        <f>IF(K14&gt;0,(1-NORMSDIST(K14)),(NORMSDIST(K14)))</f>
        <v>2.9580340264218075E-3</v>
      </c>
      <c r="M14" s="16" t="str">
        <f>IF(L14&lt;0.025,"Significativa","No significativa")</f>
        <v>Significativa</v>
      </c>
      <c r="O14" s="13" t="s">
        <v>11</v>
      </c>
      <c r="P14" s="63">
        <v>18.07152</v>
      </c>
      <c r="Q14" s="63">
        <v>1.5324600000000002</v>
      </c>
      <c r="R14" s="63">
        <v>27.351730000000003</v>
      </c>
      <c r="S14" s="63">
        <v>1.0543</v>
      </c>
      <c r="T14" s="63"/>
      <c r="U14" s="14">
        <f>R14-P14</f>
        <v>9.2802100000000038</v>
      </c>
      <c r="V14" s="15">
        <f>SQRT(S14*S14+Q14*Q14)</f>
        <v>1.8601027233999741</v>
      </c>
      <c r="W14" s="15">
        <f>U14/V14</f>
        <v>4.9890846797091104</v>
      </c>
      <c r="X14" s="15">
        <f>IF(W14&gt;0,(1-NORMSDIST(W14)),(NORMSDIST(W14)))</f>
        <v>3.0333025824447191E-7</v>
      </c>
      <c r="Y14" s="16" t="str">
        <f>IF(X14&lt;0.025,"Significativa","No significativa")</f>
        <v>Significativa</v>
      </c>
    </row>
    <row r="15" spans="1:25" ht="15" customHeight="1" x14ac:dyDescent="0.25">
      <c r="C15" s="13" t="s">
        <v>12</v>
      </c>
      <c r="D15" s="46">
        <v>18.684930000000001</v>
      </c>
      <c r="E15" s="46">
        <v>1.7279599999999999</v>
      </c>
      <c r="F15" s="46">
        <v>23.853120000000001</v>
      </c>
      <c r="G15" s="46">
        <v>0.99427999999999994</v>
      </c>
      <c r="H15" s="46"/>
      <c r="I15" s="46">
        <f>F15-D15</f>
        <v>5.1681899999999992</v>
      </c>
      <c r="J15" s="15">
        <f>SQRT(G15*G15+E15*E15)</f>
        <v>1.9935993780095338</v>
      </c>
      <c r="K15" s="15">
        <f>I15/J15</f>
        <v>2.5923914588898329</v>
      </c>
      <c r="L15" s="15">
        <f>IF(K15&gt;0,(1-NORMSDIST(K15)),(NORMSDIST(K15)))</f>
        <v>4.7655625772219379E-3</v>
      </c>
      <c r="M15" s="16" t="str">
        <f>IF(L15&lt;0.025,"Significativa","No significativa")</f>
        <v>Significativa</v>
      </c>
      <c r="O15" s="13" t="s">
        <v>12</v>
      </c>
      <c r="P15" s="63">
        <v>16.572960000000002</v>
      </c>
      <c r="Q15" s="63">
        <v>1.3601000000000001</v>
      </c>
      <c r="R15" s="63">
        <v>23.853120000000001</v>
      </c>
      <c r="S15" s="63">
        <v>0.99427999999999994</v>
      </c>
      <c r="T15" s="63"/>
      <c r="U15" s="14">
        <f>R15-P15</f>
        <v>7.2801599999999986</v>
      </c>
      <c r="V15" s="15">
        <f>SQRT(S15*S15+Q15*Q15)</f>
        <v>1.6847743850142072</v>
      </c>
      <c r="W15" s="15">
        <f>U15/V15</f>
        <v>4.3211483179919119</v>
      </c>
      <c r="X15" s="15">
        <f>IF(W15&gt;0,(1-NORMSDIST(W15)),(NORMSDIST(W15)))</f>
        <v>7.7609645436904628E-6</v>
      </c>
      <c r="Y15" s="16" t="str">
        <f>IF(X15&lt;0.025,"Significativa","No significativa")</f>
        <v>Significativa</v>
      </c>
    </row>
    <row r="16" spans="1:25" ht="15" customHeight="1" x14ac:dyDescent="0.25">
      <c r="C16" s="13" t="s">
        <v>13</v>
      </c>
      <c r="D16" s="46">
        <v>2.67638</v>
      </c>
      <c r="E16" s="46">
        <v>0.45047000000000004</v>
      </c>
      <c r="F16" s="46">
        <v>3.4986099999999998</v>
      </c>
      <c r="G16" s="46">
        <v>0.38250000000000001</v>
      </c>
      <c r="H16" s="46"/>
      <c r="I16" s="46">
        <f>F16-D16</f>
        <v>0.82222999999999979</v>
      </c>
      <c r="J16" s="15">
        <f>SQRT(G16*G16+E16*E16)</f>
        <v>0.59095640355274937</v>
      </c>
      <c r="K16" s="15">
        <f>I16/J16</f>
        <v>1.3913547514788995</v>
      </c>
      <c r="L16" s="15">
        <f>IF(K16&gt;0,(1-NORMSDIST(K16)),(NORMSDIST(K16)))</f>
        <v>8.205893928827579E-2</v>
      </c>
      <c r="M16" s="16" t="str">
        <f>IF(L16&lt;0.025,"Significativa","No significativa")</f>
        <v>No significativa</v>
      </c>
      <c r="O16" s="13" t="s">
        <v>13</v>
      </c>
      <c r="P16" s="63">
        <v>1.4985599999999999</v>
      </c>
      <c r="Q16" s="63">
        <v>0.33646000000000004</v>
      </c>
      <c r="R16" s="63">
        <v>3.4986099999999998</v>
      </c>
      <c r="S16" s="63">
        <v>0.38250000000000001</v>
      </c>
      <c r="T16" s="63"/>
      <c r="U16" s="14">
        <f>R16-P16</f>
        <v>2.0000499999999999</v>
      </c>
      <c r="V16" s="15">
        <f>SQRT(S16*S16+Q16*Q16)</f>
        <v>0.50942279257999445</v>
      </c>
      <c r="W16" s="15">
        <f>U16/V16</f>
        <v>3.926110156694516</v>
      </c>
      <c r="X16" s="15">
        <f>IF(W16&gt;0,(1-NORMSDIST(W16)),(NORMSDIST(W16)))</f>
        <v>4.3165315434801066E-5</v>
      </c>
      <c r="Y16" s="16" t="str">
        <f>IF(X16&lt;0.025,"Significativa","No significativa")</f>
        <v>Significativa</v>
      </c>
    </row>
    <row r="17" spans="3:25" ht="15" customHeight="1" x14ac:dyDescent="0.25">
      <c r="C17" s="13" t="s">
        <v>14</v>
      </c>
      <c r="D17" s="46">
        <v>44.569180000000003</v>
      </c>
      <c r="E17" s="46">
        <v>2.4991400000000001</v>
      </c>
      <c r="F17" s="46">
        <v>33.883099999999999</v>
      </c>
      <c r="G17" s="46">
        <v>1.1677500000000001</v>
      </c>
      <c r="H17" s="46"/>
      <c r="I17" s="46">
        <f>F17-D17</f>
        <v>-10.686080000000004</v>
      </c>
      <c r="J17" s="15">
        <f>SQRT(G17*G17+E17*E17)</f>
        <v>2.7585033627131943</v>
      </c>
      <c r="K17" s="15">
        <f>I17/J17</f>
        <v>-3.8738687595760064</v>
      </c>
      <c r="L17" s="15">
        <f>IF(K17&gt;0,(1-NORMSDIST(K17)),(NORMSDIST(K17)))</f>
        <v>5.3560557636153212E-5</v>
      </c>
      <c r="M17" s="16" t="str">
        <f>IF(L17&lt;0.025,"Significativa","No significativa")</f>
        <v>Significativa</v>
      </c>
      <c r="O17" s="13" t="s">
        <v>14</v>
      </c>
      <c r="P17" s="63">
        <v>43.287219999999998</v>
      </c>
      <c r="Q17" s="63">
        <v>1.9753699999999998</v>
      </c>
      <c r="R17" s="63">
        <v>33.883099999999999</v>
      </c>
      <c r="S17" s="63">
        <v>1.1677500000000001</v>
      </c>
      <c r="T17" s="63"/>
      <c r="U17" s="14">
        <f>R17-P17</f>
        <v>-9.4041199999999989</v>
      </c>
      <c r="V17" s="15">
        <f>SQRT(S17*S17+Q17*Q17)</f>
        <v>2.2947171284060266</v>
      </c>
      <c r="W17" s="15">
        <f>U17/V17</f>
        <v>-4.0981608946861172</v>
      </c>
      <c r="X17" s="15">
        <f>IF(W17&gt;0,(1-NORMSDIST(W17)),(NORMSDIST(W17)))</f>
        <v>2.0822288882490284E-5</v>
      </c>
      <c r="Y17" s="16" t="str">
        <f>IF(X17&lt;0.025,"Significativa","No significativa")</f>
        <v>Significativa</v>
      </c>
    </row>
    <row r="18" spans="3:25" ht="15" customHeight="1" x14ac:dyDescent="0.25">
      <c r="C18" s="13" t="s">
        <v>15</v>
      </c>
      <c r="D18" s="46">
        <v>4.6808500000000004</v>
      </c>
      <c r="E18" s="46">
        <v>0.83906000000000003</v>
      </c>
      <c r="F18" s="46">
        <v>7.00197</v>
      </c>
      <c r="G18" s="46">
        <v>0.64464999999999995</v>
      </c>
      <c r="H18" s="46"/>
      <c r="I18" s="46">
        <f>F18-D18</f>
        <v>2.3211199999999996</v>
      </c>
      <c r="J18" s="15">
        <f>SQRT(G18*G18+E18*E18)</f>
        <v>1.0581093072551626</v>
      </c>
      <c r="K18" s="15">
        <f>I18/J18</f>
        <v>2.1936485995205999</v>
      </c>
      <c r="L18" s="15">
        <f>IF(K18&gt;0,(1-NORMSDIST(K18)),(NORMSDIST(K18)))</f>
        <v>1.4130340847152256E-2</v>
      </c>
      <c r="M18" s="16" t="str">
        <f>IF(L18&lt;0.025,"Significativa","No significativa")</f>
        <v>Significativa</v>
      </c>
      <c r="O18" s="13" t="s">
        <v>15</v>
      </c>
      <c r="P18" s="63">
        <v>4.6660899999999996</v>
      </c>
      <c r="Q18" s="63">
        <v>0.58678999999999992</v>
      </c>
      <c r="R18" s="63">
        <v>7.00197</v>
      </c>
      <c r="S18" s="63">
        <v>0.64464999999999995</v>
      </c>
      <c r="T18" s="63"/>
      <c r="U18" s="14">
        <f>R18-P18</f>
        <v>2.3358800000000004</v>
      </c>
      <c r="V18" s="15">
        <f>SQRT(S18*S18+Q18*Q18)</f>
        <v>0.87172021119164134</v>
      </c>
      <c r="W18" s="15">
        <f>U18/V18</f>
        <v>2.6796212477474315</v>
      </c>
      <c r="X18" s="15">
        <f>IF(W18&gt;0,(1-NORMSDIST(W18)),(NORMSDIST(W18)))</f>
        <v>3.6852752382228182E-3</v>
      </c>
      <c r="Y18" s="16" t="str">
        <f>IF(X18&lt;0.025,"Significativa","No significativa")</f>
        <v>Significativa</v>
      </c>
    </row>
    <row r="19" spans="3:25" ht="15" customHeight="1" x14ac:dyDescent="0.25">
      <c r="C19" s="13" t="s">
        <v>16</v>
      </c>
      <c r="D19" s="46">
        <v>29.388660000000002</v>
      </c>
      <c r="E19" s="46">
        <v>1.46061</v>
      </c>
      <c r="F19" s="46">
        <v>31.763200000000001</v>
      </c>
      <c r="G19" s="46">
        <v>1.0782800000000001</v>
      </c>
      <c r="H19" s="46"/>
      <c r="I19" s="46">
        <f>F19-D19</f>
        <v>2.3745399999999997</v>
      </c>
      <c r="J19" s="15">
        <f>SQRT(G19*G19+E19*E19)</f>
        <v>1.8155080089330369</v>
      </c>
      <c r="K19" s="15">
        <f>I19/J19</f>
        <v>1.3079204213455948</v>
      </c>
      <c r="L19" s="15">
        <f>IF(K19&gt;0,(1-NORMSDIST(K19)),(NORMSDIST(K19)))</f>
        <v>9.5450151102569714E-2</v>
      </c>
      <c r="M19" s="16" t="str">
        <f>IF(L19&lt;0.025,"Significativa","No significativa")</f>
        <v>No significativa</v>
      </c>
      <c r="O19" s="13" t="s">
        <v>16</v>
      </c>
      <c r="P19" s="63">
        <v>33.975169999999999</v>
      </c>
      <c r="Q19" s="63">
        <v>1.4113799999999999</v>
      </c>
      <c r="R19" s="63">
        <v>31.763200000000001</v>
      </c>
      <c r="S19" s="63">
        <v>1.0782800000000001</v>
      </c>
      <c r="T19" s="63"/>
      <c r="U19" s="14">
        <f>R19-P19</f>
        <v>-2.2119699999999973</v>
      </c>
      <c r="V19" s="15">
        <f>SQRT(S19*S19+Q19*Q19)</f>
        <v>1.7761422417137656</v>
      </c>
      <c r="W19" s="15">
        <f>U19/V19</f>
        <v>-1.2453788598967783</v>
      </c>
      <c r="X19" s="15">
        <f>IF(W19&gt;0,(1-NORMSDIST(W19)),(NORMSDIST(W19)))</f>
        <v>0.10649626015090669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J20" s="15"/>
      <c r="K20" s="15"/>
      <c r="L20" s="15"/>
      <c r="M20" s="16"/>
      <c r="O20" s="17" t="s">
        <v>17</v>
      </c>
      <c r="P20" s="64"/>
      <c r="Q20" s="64"/>
      <c r="R20" s="64"/>
      <c r="S20" s="64"/>
      <c r="T20" s="6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65.930489999999992</v>
      </c>
      <c r="E21" s="46">
        <v>1.79355</v>
      </c>
      <c r="F21" s="46">
        <v>61.234829999999995</v>
      </c>
      <c r="G21" s="46">
        <v>1.2083299999999999</v>
      </c>
      <c r="H21" s="46"/>
      <c r="I21" s="46">
        <f>F21-D21</f>
        <v>-4.6956599999999966</v>
      </c>
      <c r="J21" s="15">
        <f>SQRT(G21*G21+E21*E21)</f>
        <v>2.1626102264162164</v>
      </c>
      <c r="K21" s="15">
        <f>I21/J21</f>
        <v>-2.1712927936077691</v>
      </c>
      <c r="L21" s="15">
        <f>IF(K21&gt;0,(1-NORMSDIST(K21)),(NORMSDIST(K21)))</f>
        <v>1.4954523356026938E-2</v>
      </c>
      <c r="M21" s="16" t="str">
        <f>IF(L21&lt;0.025,"Significativa","No significativa")</f>
        <v>Significativa</v>
      </c>
      <c r="O21" s="18" t="s">
        <v>18</v>
      </c>
      <c r="P21" s="63">
        <v>61.358739999999997</v>
      </c>
      <c r="Q21" s="63">
        <v>1.5710200000000001</v>
      </c>
      <c r="R21" s="63">
        <v>61.234829999999995</v>
      </c>
      <c r="S21" s="63">
        <v>1.2083299999999999</v>
      </c>
      <c r="T21" s="63"/>
      <c r="U21" s="14">
        <f>R21-P21</f>
        <v>-0.12391000000000219</v>
      </c>
      <c r="V21" s="15">
        <f>SQRT(S21*S21+Q21*Q21)</f>
        <v>1.9819599464419053</v>
      </c>
      <c r="W21" s="15">
        <f>U21/V21</f>
        <v>-6.2518922353829817E-2</v>
      </c>
      <c r="X21" s="15">
        <f>IF(W21&gt;0,(1-NORMSDIST(W21)),(NORMSDIST(W21)))</f>
        <v>0.47507479677782988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46">
        <v>17.383150000000001</v>
      </c>
      <c r="E22" s="46">
        <v>1.2884899999999999</v>
      </c>
      <c r="F22" s="46">
        <v>13.09843</v>
      </c>
      <c r="G22" s="46">
        <v>0.93945999999999996</v>
      </c>
      <c r="H22" s="46"/>
      <c r="I22" s="46">
        <f>F22-D22</f>
        <v>-4.2847200000000001</v>
      </c>
      <c r="J22" s="15">
        <f>SQRT(G22*G22+E22*E22)</f>
        <v>1.5946132984833656</v>
      </c>
      <c r="K22" s="15">
        <f>I22/J22</f>
        <v>-2.6869962793331719</v>
      </c>
      <c r="L22" s="15">
        <f>IF(K22&gt;0,(1-NORMSDIST(K22)),(NORMSDIST(K22)))</f>
        <v>3.6048877920517794E-3</v>
      </c>
      <c r="M22" s="16" t="str">
        <f>IF(L22&lt;0.025,"Significativa","No significativa")</f>
        <v>Significativa</v>
      </c>
      <c r="O22" s="18" t="s">
        <v>19</v>
      </c>
      <c r="P22" s="63">
        <v>11.80171</v>
      </c>
      <c r="Q22" s="63">
        <v>1.0982399999999999</v>
      </c>
      <c r="R22" s="63">
        <v>13.09843</v>
      </c>
      <c r="S22" s="63">
        <v>0.93945999999999996</v>
      </c>
      <c r="T22" s="63"/>
      <c r="U22" s="14">
        <f>R22-P22</f>
        <v>1.2967200000000005</v>
      </c>
      <c r="V22" s="15">
        <f>SQRT(S22*S22+Q22*Q22)</f>
        <v>1.4452391460239373</v>
      </c>
      <c r="W22" s="15">
        <f>U22/V22</f>
        <v>0.89723559147111775</v>
      </c>
      <c r="X22" s="15">
        <f>IF(W22&gt;0,(1-NORMSDIST(W22)),(NORMSDIST(W22)))</f>
        <v>0.18479660853682822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J23" s="15"/>
      <c r="K23" s="15"/>
      <c r="L23" s="15"/>
      <c r="M23" s="16"/>
      <c r="O23" s="19" t="s">
        <v>20</v>
      </c>
      <c r="P23" s="64"/>
      <c r="Q23" s="64"/>
      <c r="R23" s="64"/>
      <c r="S23" s="64"/>
      <c r="T23" s="6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16.5669</v>
      </c>
      <c r="E24" s="46">
        <v>0.96743000000000001</v>
      </c>
      <c r="F24" s="46">
        <v>12.39484</v>
      </c>
      <c r="G24" s="46">
        <v>0.55237000000000003</v>
      </c>
      <c r="H24" s="46"/>
      <c r="I24" s="46">
        <f>F24-D24</f>
        <v>-4.1720600000000001</v>
      </c>
      <c r="J24" s="15">
        <f>SQRT(G24*G24+E24*E24)</f>
        <v>1.1140167960134175</v>
      </c>
      <c r="K24" s="15">
        <f>I24/J24</f>
        <v>-3.7450602315243287</v>
      </c>
      <c r="L24" s="15">
        <f>IF(K24&gt;0,(1-NORMSDIST(K24)),(NORMSDIST(K24)))</f>
        <v>9.0175251249077895E-5</v>
      </c>
      <c r="M24" s="16" t="str">
        <f>IF(L24&lt;0.025,"Significativa","No significativa")</f>
        <v>Significativa</v>
      </c>
      <c r="O24" s="20" t="s">
        <v>21</v>
      </c>
      <c r="P24" s="63">
        <v>12.14315</v>
      </c>
      <c r="Q24" s="63">
        <v>0.49674000000000001</v>
      </c>
      <c r="R24" s="63">
        <v>12.39484</v>
      </c>
      <c r="S24" s="63">
        <v>0.55237000000000003</v>
      </c>
      <c r="T24" s="63"/>
      <c r="U24" s="14">
        <f>R24-P24</f>
        <v>0.25168999999999997</v>
      </c>
      <c r="V24" s="15">
        <f>SQRT(S24*S24+Q24*Q24)</f>
        <v>0.74287498578159161</v>
      </c>
      <c r="W24" s="15">
        <f>U24/V24</f>
        <v>0.33880532366450938</v>
      </c>
      <c r="X24" s="15">
        <f>IF(W24&gt;0,(1-NORMSDIST(W24)),(NORMSDIST(W24)))</f>
        <v>0.36737819526623161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46">
        <v>25.1904</v>
      </c>
      <c r="E25" s="46">
        <v>1.73543</v>
      </c>
      <c r="F25" s="46">
        <v>17.395489999999999</v>
      </c>
      <c r="G25" s="46">
        <v>0.68191000000000002</v>
      </c>
      <c r="H25" s="46"/>
      <c r="I25" s="46">
        <f>F25-D25</f>
        <v>-7.7949100000000016</v>
      </c>
      <c r="J25" s="15">
        <f>SQRT(G25*G25+E25*E25)</f>
        <v>1.8645960777069119</v>
      </c>
      <c r="K25" s="15">
        <f>I25/J25</f>
        <v>-4.1804818175881904</v>
      </c>
      <c r="L25" s="15">
        <f>IF(K25&gt;0,(1-NORMSDIST(K25)),(NORMSDIST(K25)))</f>
        <v>1.4544603596279858E-5</v>
      </c>
      <c r="M25" s="16" t="str">
        <f>IF(L25&lt;0.025,"Significativa","No significativa")</f>
        <v>Significativa</v>
      </c>
      <c r="O25" s="18" t="s">
        <v>22</v>
      </c>
      <c r="P25" s="63">
        <v>10.747489999999999</v>
      </c>
      <c r="Q25" s="63">
        <v>0.58351999999999993</v>
      </c>
      <c r="R25" s="63">
        <v>17.395489999999999</v>
      </c>
      <c r="S25" s="63">
        <v>0.68191000000000002</v>
      </c>
      <c r="T25" s="63"/>
      <c r="U25" s="14">
        <f>R25-P25</f>
        <v>6.6479999999999997</v>
      </c>
      <c r="V25" s="15">
        <f>SQRT(S25*S25+Q25*Q25)</f>
        <v>0.89749475680919721</v>
      </c>
      <c r="W25" s="15">
        <f>U25/V25</f>
        <v>7.4072856131607798</v>
      </c>
      <c r="X25" s="15">
        <f>IF(W25&gt;0,(1-NORMSDIST(W25)),(NORMSDIST(W25)))</f>
        <v>6.4503957730721595E-14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51.450369999999999</v>
      </c>
      <c r="E26" s="46">
        <v>1.74152</v>
      </c>
      <c r="F26" s="46">
        <v>40.43638</v>
      </c>
      <c r="G26" s="46">
        <v>0.98089000000000004</v>
      </c>
      <c r="H26" s="46"/>
      <c r="I26" s="46">
        <f>F26-D26</f>
        <v>-11.01399</v>
      </c>
      <c r="J26" s="15">
        <f>SQRT(G26*G26+E26*E26)</f>
        <v>1.9987588905368252</v>
      </c>
      <c r="K26" s="15">
        <f>I26/J26</f>
        <v>-5.5104145137995459</v>
      </c>
      <c r="L26" s="15">
        <f>IF(K26&gt;0,(1-NORMSDIST(K26)),(NORMSDIST(K26)))</f>
        <v>1.7899482139034448E-8</v>
      </c>
      <c r="M26" s="16" t="str">
        <f>IF(L26&lt;0.025,"Significativa","No significativa")</f>
        <v>Significativa</v>
      </c>
      <c r="O26" s="18" t="s">
        <v>23</v>
      </c>
      <c r="P26" s="63">
        <v>41.058620000000005</v>
      </c>
      <c r="Q26" s="63">
        <v>1.3346800000000001</v>
      </c>
      <c r="R26" s="63">
        <v>40.43638</v>
      </c>
      <c r="S26" s="63">
        <v>0.98089000000000004</v>
      </c>
      <c r="T26" s="63"/>
      <c r="U26" s="14">
        <f>R26-P26</f>
        <v>-0.62224000000000501</v>
      </c>
      <c r="V26" s="15">
        <f>SQRT(S26*S26+Q26*Q26)</f>
        <v>1.6563562100285072</v>
      </c>
      <c r="W26" s="15">
        <f>U26/V26</f>
        <v>-0.37566798508232463</v>
      </c>
      <c r="X26" s="15">
        <f>IF(W26&gt;0,(1-NORMSDIST(W26)),(NORMSDIST(W26)))</f>
        <v>0.3535818707982667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46">
        <v>14.687130000000002</v>
      </c>
      <c r="E27" s="46">
        <v>1.7163899999999999</v>
      </c>
      <c r="F27" s="46">
        <v>11.360810000000001</v>
      </c>
      <c r="G27" s="46">
        <v>1.22268</v>
      </c>
      <c r="H27" s="46"/>
      <c r="I27" s="46">
        <f>F27-D27</f>
        <v>-3.3263200000000008</v>
      </c>
      <c r="J27" s="15">
        <f>SQRT(G27*G27+E27*E27)</f>
        <v>2.1073540315998165</v>
      </c>
      <c r="K27" s="15">
        <f>I27/J27</f>
        <v>-1.5784343542289359</v>
      </c>
      <c r="L27" s="15">
        <f>IF(K27&gt;0,(1-NORMSDIST(K27)),(NORMSDIST(K27)))</f>
        <v>5.7232929040435483E-2</v>
      </c>
      <c r="M27" s="16" t="str">
        <f>IF(L27&lt;0.025,"Significativa","No significativa")</f>
        <v>No significativa</v>
      </c>
      <c r="O27" s="18" t="s">
        <v>24</v>
      </c>
      <c r="P27" s="63">
        <v>14.167270000000002</v>
      </c>
      <c r="Q27" s="63">
        <v>1.1845400000000001</v>
      </c>
      <c r="R27" s="63">
        <v>11.360810000000001</v>
      </c>
      <c r="S27" s="63">
        <v>1.22268</v>
      </c>
      <c r="T27" s="63"/>
      <c r="U27" s="14">
        <f>R27-P27</f>
        <v>-2.8064600000000013</v>
      </c>
      <c r="V27" s="15">
        <f>SQRT(S27*S27+Q27*Q27)</f>
        <v>1.7023752212717382</v>
      </c>
      <c r="W27" s="15">
        <f>U27/V27</f>
        <v>-1.6485554799743092</v>
      </c>
      <c r="X27" s="15">
        <f>IF(W27&gt;0,(1-NORMSDIST(W27)),(NORMSDIST(W27)))</f>
        <v>4.9619367900248172E-2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10.624690000000001</v>
      </c>
      <c r="E28" s="46">
        <v>1.9262299999999999</v>
      </c>
      <c r="F28" s="46">
        <v>9.4112100000000005</v>
      </c>
      <c r="G28" s="46">
        <v>1.9174299999999997</v>
      </c>
      <c r="H28" s="46"/>
      <c r="I28" s="46">
        <f>F28-D28</f>
        <v>-1.2134800000000006</v>
      </c>
      <c r="J28" s="15">
        <f>SQRT(G28*G28+E28*E28)</f>
        <v>2.7178851737702234</v>
      </c>
      <c r="K28" s="15">
        <f>I28/J28</f>
        <v>-0.44647949505411705</v>
      </c>
      <c r="L28" s="15">
        <f>IF(K28&gt;0,(1-NORMSDIST(K28)),(NORMSDIST(K28)))</f>
        <v>0.32762546052846375</v>
      </c>
      <c r="M28" s="16" t="str">
        <f>IF(L28&lt;0.025,"Significativa","No significativa")</f>
        <v>No significativa</v>
      </c>
      <c r="O28" s="18" t="s">
        <v>25</v>
      </c>
      <c r="P28" s="63">
        <v>13.24977</v>
      </c>
      <c r="Q28" s="63">
        <v>2.43458</v>
      </c>
      <c r="R28" s="63">
        <v>9.4112100000000005</v>
      </c>
      <c r="S28" s="63">
        <v>1.9174299999999997</v>
      </c>
      <c r="T28" s="63"/>
      <c r="U28" s="14">
        <f>R28-P28</f>
        <v>-3.8385599999999993</v>
      </c>
      <c r="V28" s="15">
        <f>SQRT(S28*S28+Q28*Q28)</f>
        <v>3.098986541000138</v>
      </c>
      <c r="W28" s="15">
        <f>U28/V28</f>
        <v>-1.2386501035790811</v>
      </c>
      <c r="X28" s="15">
        <f>IF(W28&gt;0,(1-NORMSDIST(W28)),(NORMSDIST(W28)))</f>
        <v>0.10773755222678259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15.41567</v>
      </c>
      <c r="E29" s="46">
        <v>1.8492200000000001</v>
      </c>
      <c r="F29" s="46">
        <v>22.714509999999997</v>
      </c>
      <c r="G29" s="46">
        <v>1.0897000000000001</v>
      </c>
      <c r="H29" s="46"/>
      <c r="I29" s="46">
        <f>F29-D29</f>
        <v>7.2988399999999967</v>
      </c>
      <c r="J29" s="15">
        <f>SQRT(G29*G29+E29*E29)</f>
        <v>2.1464064616004119</v>
      </c>
      <c r="K29" s="15">
        <f>I29/J29</f>
        <v>3.4004929311281553</v>
      </c>
      <c r="L29" s="15">
        <f>IF(K29&gt;0,(1-NORMSDIST(K29)),(NORMSDIST(K29)))</f>
        <v>3.3632237522251973E-4</v>
      </c>
      <c r="M29" s="16" t="str">
        <f>IF(L29&lt;0.025,"Significativa","No significativa")</f>
        <v>Significativa</v>
      </c>
      <c r="O29" s="18" t="s">
        <v>26</v>
      </c>
      <c r="P29" s="63">
        <v>17.842970000000001</v>
      </c>
      <c r="Q29" s="63">
        <v>1.2032499999999999</v>
      </c>
      <c r="R29" s="63">
        <v>22.714509999999997</v>
      </c>
      <c r="S29" s="63">
        <v>1.0897000000000001</v>
      </c>
      <c r="T29" s="63"/>
      <c r="U29" s="14">
        <f>R29-P29</f>
        <v>4.871539999999996</v>
      </c>
      <c r="V29" s="15">
        <f>SQRT(S29*S29+Q29*Q29)</f>
        <v>1.6233473603945645</v>
      </c>
      <c r="W29" s="15">
        <f>U29/V29</f>
        <v>3.0009227346240537</v>
      </c>
      <c r="X29" s="15">
        <f>IF(W29&gt;0,(1-NORMSDIST(W29)),(NORMSDIST(W29)))</f>
        <v>1.3458142671858297E-3</v>
      </c>
      <c r="Y29" s="16" t="str">
        <f>IF(X29&lt;0.025,"Significativa","No significativa")</f>
        <v>Significativa</v>
      </c>
    </row>
    <row r="30" spans="3:25" x14ac:dyDescent="0.25">
      <c r="C30" s="8" t="s">
        <v>27</v>
      </c>
      <c r="J30" s="15"/>
      <c r="K30" s="15"/>
      <c r="L30" s="15"/>
      <c r="M30" s="16"/>
      <c r="O30" s="8" t="s">
        <v>27</v>
      </c>
      <c r="P30" s="64"/>
      <c r="Q30" s="64"/>
      <c r="R30" s="64"/>
      <c r="S30" s="64"/>
      <c r="T30" s="6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7.6706099999999999</v>
      </c>
      <c r="E31" s="46">
        <v>1.1138600000000001</v>
      </c>
      <c r="F31" s="46">
        <v>10.8735</v>
      </c>
      <c r="G31" s="46">
        <v>0.79368000000000005</v>
      </c>
      <c r="H31" s="46"/>
      <c r="I31" s="46">
        <f>F31-D31</f>
        <v>3.20289</v>
      </c>
      <c r="J31" s="15">
        <f>SQRT(G31*G31+E31*E31)</f>
        <v>1.3677031995283189</v>
      </c>
      <c r="K31" s="15">
        <f>I31/J31</f>
        <v>2.3418019356133581</v>
      </c>
      <c r="L31" s="15">
        <f>IF(K31&gt;0,(1-NORMSDIST(K31)),(NORMSDIST(K31)))</f>
        <v>9.5954481020595894E-3</v>
      </c>
      <c r="M31" s="16" t="str">
        <f>IF(L31&lt;0.025,"Significativa","No significativa")</f>
        <v>Significativa</v>
      </c>
      <c r="O31" s="21" t="s">
        <v>28</v>
      </c>
      <c r="P31" s="63">
        <v>4.63584</v>
      </c>
      <c r="Q31" s="63">
        <v>0.61355999999999999</v>
      </c>
      <c r="R31" s="63">
        <v>10.8735</v>
      </c>
      <c r="S31" s="63">
        <v>0.79368000000000005</v>
      </c>
      <c r="T31" s="63"/>
      <c r="U31" s="14">
        <f>R31-P31</f>
        <v>6.23766</v>
      </c>
      <c r="V31" s="15">
        <f>SQRT(S31*S31+Q31*Q31)</f>
        <v>1.0031868300570936</v>
      </c>
      <c r="W31" s="15">
        <f>U31/V31</f>
        <v>6.2178447853477108</v>
      </c>
      <c r="X31" s="15">
        <f>IF(W31&gt;0,(1-NORMSDIST(W31)),(NORMSDIST(W31)))</f>
        <v>2.5201485343018248E-10</v>
      </c>
      <c r="Y31" s="16" t="str">
        <f>IF(X31&lt;0.025,"Significativa","No significativa")</f>
        <v>Significativa</v>
      </c>
    </row>
    <row r="32" spans="3:25" ht="15" customHeight="1" thickBot="1" x14ac:dyDescent="0.3">
      <c r="C32" s="23" t="s">
        <v>29</v>
      </c>
      <c r="D32" s="30">
        <v>26.042159999999999</v>
      </c>
      <c r="E32" s="30">
        <v>2.3136100000000002</v>
      </c>
      <c r="F32" s="30">
        <v>34.353699999999996</v>
      </c>
      <c r="G32" s="30">
        <v>1.1301999999999999</v>
      </c>
      <c r="H32" s="30"/>
      <c r="I32" s="30">
        <f>F32-D32</f>
        <v>8.3115399999999973</v>
      </c>
      <c r="J32" s="25">
        <f>SQRT(G32*G32+E32*E32)</f>
        <v>2.5749064589029249</v>
      </c>
      <c r="K32" s="25">
        <f>I32/J32</f>
        <v>3.2278997830240583</v>
      </c>
      <c r="L32" s="25">
        <f>IF(K32&gt;0,(1-NORMSDIST(K32)),(NORMSDIST(K32)))</f>
        <v>6.2351326974374732E-4</v>
      </c>
      <c r="M32" s="26" t="str">
        <f>IF(L32&lt;0.025,"Significativa","No significativa")</f>
        <v>Significativa</v>
      </c>
      <c r="O32" s="23" t="s">
        <v>29</v>
      </c>
      <c r="P32" s="62">
        <v>22.73761</v>
      </c>
      <c r="Q32" s="62">
        <v>1.6878199999999999</v>
      </c>
      <c r="R32" s="62">
        <v>34.353699999999996</v>
      </c>
      <c r="S32" s="62">
        <v>1.1301999999999999</v>
      </c>
      <c r="T32" s="62"/>
      <c r="U32" s="32">
        <f>R32-P32</f>
        <v>11.616089999999996</v>
      </c>
      <c r="V32" s="25">
        <f>SQRT(S32*S32+Q32*Q32)</f>
        <v>2.031277527173478</v>
      </c>
      <c r="W32" s="25">
        <f>U32/V32</f>
        <v>5.7186129638148371</v>
      </c>
      <c r="X32" s="25">
        <f>IF(W32&gt;0,(1-NORMSDIST(W32)),(NORMSDIST(W32)))</f>
        <v>5.3698553381664738E-9</v>
      </c>
      <c r="Y32" s="26" t="str">
        <f>IF(X32&lt;0.025,"Significativa","No significativa")</f>
        <v>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11BB-4750-4FBD-BEE9-6032450B7639}">
  <dimension ref="A4:X34"/>
  <sheetViews>
    <sheetView workbookViewId="0">
      <selection activeCell="L6" sqref="L6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59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58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49">
        <v>51.190736515044399</v>
      </c>
      <c r="C14" s="36">
        <f>0.0221884*100</f>
        <v>2.2188400000000001</v>
      </c>
      <c r="D14" s="49">
        <f>0.608461*100</f>
        <v>60.8461</v>
      </c>
      <c r="E14" s="36">
        <f>0.01623*100</f>
        <v>1.6230000000000002</v>
      </c>
      <c r="F14" s="4"/>
      <c r="G14" s="14">
        <f t="shared" ref="G14:G19" si="0">D14-B14</f>
        <v>9.6553634849556005</v>
      </c>
      <c r="H14" s="15">
        <f t="shared" ref="H14:H19" si="1">SQRT(E14*E14+C14*C14)</f>
        <v>2.7490689233993391</v>
      </c>
      <c r="I14" s="15">
        <f t="shared" ref="I14:I19" si="2">G14/H14</f>
        <v>3.5122304147312313</v>
      </c>
      <c r="J14" s="15">
        <f t="shared" ref="J14:J19" si="3">IF(I14&gt;0,(1-NORMSDIST(I14)),(NORMSDIST(I14)))</f>
        <v>2.2218128285078631E-4</v>
      </c>
      <c r="K14" s="16" t="str">
        <f t="shared" ref="K14:K19" si="4">IF(J14&lt;0.025,"Significativa","No significativa")</f>
        <v>Significativa</v>
      </c>
      <c r="N14" s="13" t="s">
        <v>11</v>
      </c>
      <c r="O14" s="49">
        <v>61.778921975104197</v>
      </c>
      <c r="P14" s="36">
        <v>1.7001999999999999</v>
      </c>
      <c r="Q14" s="49">
        <f>0.608461*100</f>
        <v>60.8461</v>
      </c>
      <c r="R14" s="36">
        <f>0.01623*100</f>
        <v>1.6230000000000002</v>
      </c>
      <c r="S14" s="4"/>
      <c r="T14" s="14">
        <f t="shared" ref="T14:T19" si="5">Q14-O14</f>
        <v>-0.93282197510419707</v>
      </c>
      <c r="U14" s="15">
        <f t="shared" ref="U14:U19" si="6">SQRT(R14*R14+P14*P14)</f>
        <v>2.3504912337637003</v>
      </c>
      <c r="V14" s="15">
        <f t="shared" ref="V14:V19" si="7">T14/U14</f>
        <v>-0.39686256289946903</v>
      </c>
      <c r="W14" s="15">
        <f t="shared" ref="W14:W19" si="8">IF(V14&gt;0,(1-NORMSDIST(V14)),(NORMSDIST(V14)))</f>
        <v>0.34573440621119006</v>
      </c>
      <c r="X14" s="16" t="str">
        <f t="shared" ref="X14:X19" si="9">IF(W14&lt;0.025,"Significativa","No significativa")</f>
        <v>No significativa</v>
      </c>
    </row>
    <row r="15" spans="1:24" x14ac:dyDescent="0.25">
      <c r="A15" s="13" t="s">
        <v>12</v>
      </c>
      <c r="B15" s="49">
        <v>34.346081055097457</v>
      </c>
      <c r="C15" s="36">
        <f>0.0169033*100</f>
        <v>1.6903299999999999</v>
      </c>
      <c r="D15" s="49">
        <f>0.448138*100</f>
        <v>44.813800000000001</v>
      </c>
      <c r="E15" s="36">
        <f>0.0135721*100</f>
        <v>1.35721</v>
      </c>
      <c r="F15" s="4"/>
      <c r="G15" s="14">
        <f t="shared" si="0"/>
        <v>10.467718944902543</v>
      </c>
      <c r="H15" s="15">
        <f t="shared" si="1"/>
        <v>2.1677717806540429</v>
      </c>
      <c r="I15" s="15">
        <f t="shared" si="2"/>
        <v>4.8287919597072655</v>
      </c>
      <c r="J15" s="15">
        <f t="shared" si="3"/>
        <v>6.8681912102075415E-7</v>
      </c>
      <c r="K15" s="16" t="str">
        <f t="shared" si="4"/>
        <v>Significativa</v>
      </c>
      <c r="N15" s="13" t="s">
        <v>12</v>
      </c>
      <c r="O15" s="49">
        <v>44.079519420935249</v>
      </c>
      <c r="P15" s="36">
        <v>1.4649799999999999</v>
      </c>
      <c r="Q15" s="49">
        <f>0.448138*100</f>
        <v>44.813800000000001</v>
      </c>
      <c r="R15" s="36">
        <f>0.0135721*100</f>
        <v>1.35721</v>
      </c>
      <c r="S15" s="4"/>
      <c r="T15" s="14">
        <f t="shared" si="5"/>
        <v>0.73428057906475175</v>
      </c>
      <c r="U15" s="15">
        <f t="shared" si="6"/>
        <v>1.9970441618802524</v>
      </c>
      <c r="V15" s="15">
        <f t="shared" si="7"/>
        <v>0.36768369627510572</v>
      </c>
      <c r="W15" s="15">
        <f t="shared" si="8"/>
        <v>0.35655454937442499</v>
      </c>
      <c r="X15" s="16" t="str">
        <f t="shared" si="9"/>
        <v>No significativa</v>
      </c>
    </row>
    <row r="16" spans="1:24" x14ac:dyDescent="0.25">
      <c r="A16" s="13" t="s">
        <v>13</v>
      </c>
      <c r="B16" s="49">
        <v>16.844655459946946</v>
      </c>
      <c r="C16" s="36">
        <f>0.0160744*100</f>
        <v>1.60744</v>
      </c>
      <c r="D16" s="49">
        <f>0.160323*100</f>
        <v>16.032299999999999</v>
      </c>
      <c r="E16" s="36">
        <f>0.0113569*100</f>
        <v>1.1356899999999999</v>
      </c>
      <c r="F16" s="4"/>
      <c r="G16" s="14">
        <f t="shared" si="0"/>
        <v>-0.81235545994694647</v>
      </c>
      <c r="H16" s="15">
        <f t="shared" si="1"/>
        <v>1.9681603414610302</v>
      </c>
      <c r="I16" s="15">
        <f t="shared" si="2"/>
        <v>-0.41274861749521297</v>
      </c>
      <c r="J16" s="15">
        <f t="shared" si="3"/>
        <v>0.33989540038763605</v>
      </c>
      <c r="K16" s="16" t="str">
        <f t="shared" si="4"/>
        <v>No significativa</v>
      </c>
      <c r="N16" s="13" t="s">
        <v>13</v>
      </c>
      <c r="O16" s="49">
        <v>17.699402554168948</v>
      </c>
      <c r="P16" s="36">
        <v>1.3868</v>
      </c>
      <c r="Q16" s="49">
        <f>0.160323*100</f>
        <v>16.032299999999999</v>
      </c>
      <c r="R16" s="36">
        <f>0.0113569*100</f>
        <v>1.1356899999999999</v>
      </c>
      <c r="S16" s="4"/>
      <c r="T16" s="14">
        <f t="shared" si="5"/>
        <v>-1.6671025541689488</v>
      </c>
      <c r="U16" s="15">
        <f t="shared" si="6"/>
        <v>1.7924859876997643</v>
      </c>
      <c r="V16" s="15">
        <f t="shared" si="7"/>
        <v>-0.93005053629918988</v>
      </c>
      <c r="W16" s="15">
        <f t="shared" si="8"/>
        <v>0.1761724596879338</v>
      </c>
      <c r="X16" s="16" t="str">
        <f t="shared" si="9"/>
        <v>No significativa</v>
      </c>
    </row>
    <row r="17" spans="1:24" x14ac:dyDescent="0.25">
      <c r="A17" s="13" t="s">
        <v>14</v>
      </c>
      <c r="B17" s="49">
        <v>32.728589777918607</v>
      </c>
      <c r="C17" s="36">
        <f>0.0179432*100</f>
        <v>1.7943199999999999</v>
      </c>
      <c r="D17" s="49">
        <f>0.216579*100</f>
        <v>21.657899999999998</v>
      </c>
      <c r="E17" s="36">
        <f>0.0114543*100</f>
        <v>1.1454300000000002</v>
      </c>
      <c r="F17" s="4"/>
      <c r="G17" s="14">
        <f t="shared" si="0"/>
        <v>-11.070689777918609</v>
      </c>
      <c r="H17" s="15">
        <f t="shared" si="1"/>
        <v>2.1287541303072084</v>
      </c>
      <c r="I17" s="15">
        <f t="shared" si="2"/>
        <v>-5.2005488188158946</v>
      </c>
      <c r="J17" s="15">
        <f t="shared" si="3"/>
        <v>9.9350458914305674E-8</v>
      </c>
      <c r="K17" s="16" t="str">
        <f t="shared" si="4"/>
        <v>Significativa</v>
      </c>
      <c r="N17" s="13" t="s">
        <v>14</v>
      </c>
      <c r="O17" s="49">
        <v>21.149121071104673</v>
      </c>
      <c r="P17" s="36">
        <v>1.23922</v>
      </c>
      <c r="Q17" s="49">
        <f>0.216579*100</f>
        <v>21.657899999999998</v>
      </c>
      <c r="R17" s="36">
        <f>0.0114543*100</f>
        <v>1.1454300000000002</v>
      </c>
      <c r="S17" s="4"/>
      <c r="T17" s="14">
        <f t="shared" si="5"/>
        <v>0.50877892889532461</v>
      </c>
      <c r="U17" s="15">
        <f t="shared" si="6"/>
        <v>1.687505879486054</v>
      </c>
      <c r="V17" s="15">
        <f t="shared" si="7"/>
        <v>0.30149757407084005</v>
      </c>
      <c r="W17" s="15">
        <f t="shared" si="8"/>
        <v>0.38151754980426222</v>
      </c>
      <c r="X17" s="16" t="str">
        <f t="shared" si="9"/>
        <v>No significativa</v>
      </c>
    </row>
    <row r="18" spans="1:24" x14ac:dyDescent="0.25">
      <c r="A18" s="13" t="s">
        <v>15</v>
      </c>
      <c r="B18" s="49">
        <v>3.1498229569845715</v>
      </c>
      <c r="C18" s="36">
        <f>0.0050158*100</f>
        <v>0.50158000000000003</v>
      </c>
      <c r="D18" s="49">
        <f>0.0557134*100</f>
        <v>5.5713400000000002</v>
      </c>
      <c r="E18" s="36">
        <f>0.0056754*100</f>
        <v>0.56753999999999993</v>
      </c>
      <c r="F18" s="4"/>
      <c r="G18" s="14">
        <f t="shared" si="0"/>
        <v>2.4215170430154287</v>
      </c>
      <c r="H18" s="15">
        <f t="shared" si="1"/>
        <v>0.7574194003324709</v>
      </c>
      <c r="I18" s="15">
        <f t="shared" si="2"/>
        <v>3.1970623434684913</v>
      </c>
      <c r="J18" s="15">
        <f t="shared" si="3"/>
        <v>6.9417458226772588E-4</v>
      </c>
      <c r="K18" s="16" t="str">
        <f t="shared" si="4"/>
        <v>Significativa</v>
      </c>
      <c r="N18" s="13" t="s">
        <v>15</v>
      </c>
      <c r="O18" s="49">
        <v>6.1467354156321745</v>
      </c>
      <c r="P18" s="36">
        <v>0.60432000000000008</v>
      </c>
      <c r="Q18" s="49">
        <f>0.0557134*100</f>
        <v>5.5713400000000002</v>
      </c>
      <c r="R18" s="36">
        <f>0.0056754*100</f>
        <v>0.56753999999999993</v>
      </c>
      <c r="S18" s="4"/>
      <c r="T18" s="14">
        <f t="shared" si="5"/>
        <v>-0.57539541563217433</v>
      </c>
      <c r="U18" s="15">
        <f t="shared" si="6"/>
        <v>0.8290381860927758</v>
      </c>
      <c r="V18" s="15">
        <f t="shared" si="7"/>
        <v>-0.6940517641822872</v>
      </c>
      <c r="W18" s="15">
        <f t="shared" si="8"/>
        <v>0.24382487344467019</v>
      </c>
      <c r="X18" s="16" t="str">
        <f t="shared" si="9"/>
        <v>No significativa</v>
      </c>
    </row>
    <row r="19" spans="1:24" x14ac:dyDescent="0.25">
      <c r="A19" s="13" t="s">
        <v>16</v>
      </c>
      <c r="B19" s="49">
        <v>12.930850750052425</v>
      </c>
      <c r="C19" s="36">
        <f>0.0111531*100</f>
        <v>1.11531</v>
      </c>
      <c r="D19" s="49">
        <f>0.119246*100</f>
        <v>11.9246</v>
      </c>
      <c r="E19" s="36">
        <f>0.0098831*100</f>
        <v>0.98831000000000002</v>
      </c>
      <c r="F19" s="4"/>
      <c r="G19" s="14">
        <f t="shared" si="0"/>
        <v>-1.0062507500524251</v>
      </c>
      <c r="H19" s="15">
        <f t="shared" si="1"/>
        <v>1.4901922869884947</v>
      </c>
      <c r="I19" s="15">
        <f t="shared" si="2"/>
        <v>-0.67524893185827772</v>
      </c>
      <c r="J19" s="15">
        <f t="shared" si="3"/>
        <v>0.24975881163327185</v>
      </c>
      <c r="K19" s="16" t="str">
        <f t="shared" si="4"/>
        <v>No significativa</v>
      </c>
      <c r="N19" s="13" t="s">
        <v>16</v>
      </c>
      <c r="O19" s="49">
        <v>10.925221538158954</v>
      </c>
      <c r="P19" s="36">
        <v>0.85579000000000005</v>
      </c>
      <c r="Q19" s="49">
        <f>0.119246*100</f>
        <v>11.9246</v>
      </c>
      <c r="R19" s="36">
        <f>0.0098831*100</f>
        <v>0.98831000000000002</v>
      </c>
      <c r="S19" s="4"/>
      <c r="T19" s="14">
        <f t="shared" si="5"/>
        <v>0.99937846184104551</v>
      </c>
      <c r="U19" s="15">
        <f t="shared" si="6"/>
        <v>1.3073382042149615</v>
      </c>
      <c r="V19" s="15">
        <f t="shared" si="7"/>
        <v>0.76443758670783923</v>
      </c>
      <c r="W19" s="15">
        <f t="shared" si="8"/>
        <v>0.22230325852237032</v>
      </c>
      <c r="X19" s="16" t="str">
        <f t="shared" si="9"/>
        <v>No significativa</v>
      </c>
    </row>
    <row r="20" spans="1:24" x14ac:dyDescent="0.25">
      <c r="A20" s="17" t="s">
        <v>17</v>
      </c>
      <c r="B20" s="49"/>
      <c r="C20" s="36"/>
      <c r="D20" s="49"/>
      <c r="E20" s="36"/>
      <c r="F20" s="4"/>
      <c r="G20" s="14"/>
      <c r="H20" s="15"/>
      <c r="I20" s="15"/>
      <c r="J20" s="15"/>
      <c r="K20" s="16"/>
      <c r="N20" s="17" t="s">
        <v>17</v>
      </c>
      <c r="O20" s="49"/>
      <c r="P20" s="36"/>
      <c r="Q20" s="49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49">
        <v>83.919326292963007</v>
      </c>
      <c r="C21" s="36">
        <f>0.0132135*100</f>
        <v>1.32135</v>
      </c>
      <c r="D21" s="49">
        <f>0.825041*100</f>
        <v>82.504100000000008</v>
      </c>
      <c r="E21" s="36">
        <f>0.0104785*100</f>
        <v>1.0478499999999999</v>
      </c>
      <c r="F21" s="4"/>
      <c r="G21" s="14">
        <f>D21-B21</f>
        <v>-1.4152262929629984</v>
      </c>
      <c r="H21" s="15">
        <f>SQRT(E21*E21+C21*C21)</f>
        <v>1.6864031086902087</v>
      </c>
      <c r="I21" s="15">
        <f>G21/H21</f>
        <v>-0.8391981049312538</v>
      </c>
      <c r="J21" s="15">
        <f>IF(I21&gt;0,(1-NORMSDIST(I21)),(NORMSDIST(I21)))</f>
        <v>0.20067907528666631</v>
      </c>
      <c r="K21" s="16" t="str">
        <f>IF(J21&lt;0.025,"Significativa","No significativa")</f>
        <v>No significativa</v>
      </c>
      <c r="N21" s="18" t="s">
        <v>18</v>
      </c>
      <c r="O21" s="49">
        <v>82.92804304620887</v>
      </c>
      <c r="P21" s="36">
        <v>1.1302100000000002</v>
      </c>
      <c r="Q21" s="49">
        <f>0.825041*100</f>
        <v>82.504100000000008</v>
      </c>
      <c r="R21" s="36">
        <f>0.0104785*100</f>
        <v>1.0478499999999999</v>
      </c>
      <c r="S21" s="4"/>
      <c r="T21" s="14">
        <f>Q21-O21</f>
        <v>-0.42394304620886203</v>
      </c>
      <c r="U21" s="15">
        <f>SQRT(R21*R21+P21*P21)</f>
        <v>1.5412216799020186</v>
      </c>
      <c r="V21" s="15">
        <f>T21/U21</f>
        <v>-0.27506948009958809</v>
      </c>
      <c r="W21" s="15">
        <f>IF(V21&gt;0,(1-NORMSDIST(V21)),(NORMSDIST(V21)))</f>
        <v>0.39163142939851725</v>
      </c>
      <c r="X21" s="16" t="str">
        <f>IF(W21&lt;0.025,"Significativa","No significativa")</f>
        <v>No significativa</v>
      </c>
    </row>
    <row r="22" spans="1:24" x14ac:dyDescent="0.25">
      <c r="A22" s="18" t="s">
        <v>19</v>
      </c>
      <c r="B22" s="49">
        <v>46.713397770278128</v>
      </c>
      <c r="C22" s="36">
        <f>0.0207578*100</f>
        <v>2.07578</v>
      </c>
      <c r="D22" s="49">
        <f>0.354378*100</f>
        <v>35.437800000000003</v>
      </c>
      <c r="E22" s="36">
        <f>0.012935*100</f>
        <v>1.2935000000000001</v>
      </c>
      <c r="F22" s="4"/>
      <c r="G22" s="14">
        <f>D22-B22</f>
        <v>-11.275597770278125</v>
      </c>
      <c r="H22" s="15">
        <f>SQRT(E22*E22+C22*C22)</f>
        <v>2.4458137415592383</v>
      </c>
      <c r="I22" s="15">
        <f>G22/H22</f>
        <v>-4.610162081716731</v>
      </c>
      <c r="J22" s="15">
        <f>IF(I22&gt;0,(1-NORMSDIST(I22)),(NORMSDIST(I22)))</f>
        <v>2.011775768002213E-6</v>
      </c>
      <c r="K22" s="16" t="str">
        <f>IF(J22&lt;0.025,"Significativa","No significativa")</f>
        <v>Significativa</v>
      </c>
      <c r="N22" s="18" t="s">
        <v>19</v>
      </c>
      <c r="O22" s="49">
        <v>33.318756351124776</v>
      </c>
      <c r="P22" s="36">
        <v>1.44062</v>
      </c>
      <c r="Q22" s="49">
        <f>0.354378*100</f>
        <v>35.437800000000003</v>
      </c>
      <c r="R22" s="36">
        <f>0.012935*100</f>
        <v>1.2935000000000001</v>
      </c>
      <c r="S22" s="4"/>
      <c r="T22" s="14">
        <f>Q22-O22</f>
        <v>2.1190436488752269</v>
      </c>
      <c r="U22" s="15">
        <f>SQRT(R22*R22+P22*P22)</f>
        <v>1.9361116275669645</v>
      </c>
      <c r="V22" s="15">
        <f>T22/U22</f>
        <v>1.0944842325739998</v>
      </c>
      <c r="W22" s="15">
        <f>IF(V22&gt;0,(1-NORMSDIST(V22)),(NORMSDIST(V22)))</f>
        <v>0.1368713294780356</v>
      </c>
      <c r="X22" s="16" t="str">
        <f>IF(W22&lt;0.025,"Significativa","No significativa")</f>
        <v>No significativa</v>
      </c>
    </row>
    <row r="23" spans="1:24" x14ac:dyDescent="0.25">
      <c r="A23" s="19" t="s">
        <v>20</v>
      </c>
      <c r="B23" s="49"/>
      <c r="C23" s="36"/>
      <c r="D23" s="49"/>
      <c r="E23" s="36"/>
      <c r="F23" s="4"/>
      <c r="G23" s="14"/>
      <c r="H23" s="15"/>
      <c r="I23" s="15"/>
      <c r="J23" s="15"/>
      <c r="K23" s="16"/>
      <c r="N23" s="19" t="s">
        <v>20</v>
      </c>
      <c r="O23" s="49"/>
      <c r="P23" s="36"/>
      <c r="Q23" s="49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49">
        <v>28.434542780853462</v>
      </c>
      <c r="C24" s="36">
        <f>0.0125376*100</f>
        <v>1.25376</v>
      </c>
      <c r="D24" s="49">
        <f>0.256087*100</f>
        <v>25.608700000000002</v>
      </c>
      <c r="E24" s="36">
        <f>0.0098358*100</f>
        <v>0.98358000000000001</v>
      </c>
      <c r="F24" s="4"/>
      <c r="G24" s="14">
        <f t="shared" ref="G24:G29" si="10">D24-B24</f>
        <v>-2.8258427808534599</v>
      </c>
      <c r="H24" s="15">
        <f t="shared" ref="H24:H29" si="11">SQRT(E24*E24+C24*C24)</f>
        <v>1.5935318490698578</v>
      </c>
      <c r="I24" s="15">
        <f t="shared" ref="I24:I29" si="12">G24/H24</f>
        <v>-1.7733205536512497</v>
      </c>
      <c r="J24" s="15">
        <f t="shared" ref="J24:J29" si="13">IF(I24&gt;0,(1-NORMSDIST(I24)),(NORMSDIST(I24)))</f>
        <v>3.8087802567198237E-2</v>
      </c>
      <c r="K24" s="16" t="str">
        <f t="shared" ref="K24:K29" si="14">IF(J24&lt;0.025,"Significativa","No significativa")</f>
        <v>No significativa</v>
      </c>
      <c r="N24" s="20" t="s">
        <v>21</v>
      </c>
      <c r="O24" s="49">
        <v>24.956469375589585</v>
      </c>
      <c r="P24" s="36">
        <v>0.93469999999999998</v>
      </c>
      <c r="Q24" s="49">
        <f>0.256087*100</f>
        <v>25.608700000000002</v>
      </c>
      <c r="R24" s="36">
        <f>0.0098358*100</f>
        <v>0.98358000000000001</v>
      </c>
      <c r="S24" s="4"/>
      <c r="T24" s="14">
        <f t="shared" ref="T24:T29" si="15">Q24-O24</f>
        <v>0.6522306244104179</v>
      </c>
      <c r="U24" s="15">
        <f t="shared" ref="U24:U29" si="16">SQRT(R24*R24+P24*P24)</f>
        <v>1.3568690822625447</v>
      </c>
      <c r="V24" s="15">
        <f t="shared" ref="V24:V29" si="17">T24/U24</f>
        <v>0.48068795504046707</v>
      </c>
      <c r="W24" s="15">
        <f t="shared" ref="W24:W29" si="18">IF(V24&gt;0,(1-NORMSDIST(V24)),(NORMSDIST(V24)))</f>
        <v>0.31536914652015746</v>
      </c>
      <c r="X24" s="16" t="str">
        <f t="shared" ref="X24:X29" si="19">IF(W24&lt;0.025,"Significativa","No significativa")</f>
        <v>No significativa</v>
      </c>
    </row>
    <row r="25" spans="1:24" x14ac:dyDescent="0.25">
      <c r="A25" s="18" t="s">
        <v>22</v>
      </c>
      <c r="B25" s="49">
        <v>42.873324142132205</v>
      </c>
      <c r="C25" s="36">
        <f>0.0229737*100</f>
        <v>2.2973699999999999</v>
      </c>
      <c r="D25" s="49">
        <f>0.30956*100</f>
        <v>30.956</v>
      </c>
      <c r="E25" s="36">
        <f>0.010311*100</f>
        <v>1.0311000000000001</v>
      </c>
      <c r="F25" s="4"/>
      <c r="G25" s="14">
        <f t="shared" si="10"/>
        <v>-11.917324142132205</v>
      </c>
      <c r="H25" s="15">
        <f t="shared" si="11"/>
        <v>2.5181493456306359</v>
      </c>
      <c r="I25" s="15">
        <f t="shared" si="12"/>
        <v>-4.7325724198251136</v>
      </c>
      <c r="J25" s="15">
        <f t="shared" si="13"/>
        <v>1.1084608442057783E-6</v>
      </c>
      <c r="K25" s="16" t="str">
        <f t="shared" si="14"/>
        <v>Significativa</v>
      </c>
      <c r="N25" s="18" t="s">
        <v>22</v>
      </c>
      <c r="O25" s="49">
        <v>16.745504587378729</v>
      </c>
      <c r="P25" s="36">
        <v>0.74153999999999998</v>
      </c>
      <c r="Q25" s="49">
        <f>0.30956*100</f>
        <v>30.956</v>
      </c>
      <c r="R25" s="36">
        <f>0.010311*100</f>
        <v>1.0311000000000001</v>
      </c>
      <c r="S25" s="4"/>
      <c r="T25" s="14">
        <f t="shared" si="15"/>
        <v>14.21049541262127</v>
      </c>
      <c r="U25" s="15">
        <f t="shared" si="16"/>
        <v>1.2700585740823138</v>
      </c>
      <c r="V25" s="15">
        <f t="shared" si="17"/>
        <v>11.188850422028073</v>
      </c>
      <c r="W25" s="15">
        <f t="shared" si="18"/>
        <v>0</v>
      </c>
      <c r="X25" s="16" t="str">
        <f t="shared" si="19"/>
        <v>Significativa</v>
      </c>
    </row>
    <row r="26" spans="1:24" x14ac:dyDescent="0.25">
      <c r="A26" s="18" t="s">
        <v>23</v>
      </c>
      <c r="B26" s="49">
        <v>72.100129633151241</v>
      </c>
      <c r="C26" s="36">
        <f>0.015685*100</f>
        <v>1.5685</v>
      </c>
      <c r="D26" s="49">
        <f>0.677132*100</f>
        <v>67.713200000000001</v>
      </c>
      <c r="E26" s="36">
        <f>0.0132146*100</f>
        <v>1.3214600000000001</v>
      </c>
      <c r="F26" s="4"/>
      <c r="G26" s="14">
        <f t="shared" si="10"/>
        <v>-4.3869296331512402</v>
      </c>
      <c r="H26" s="15">
        <f t="shared" si="11"/>
        <v>2.0509628913269009</v>
      </c>
      <c r="I26" s="15">
        <f t="shared" si="12"/>
        <v>-2.1389609981256417</v>
      </c>
      <c r="J26" s="15">
        <f t="shared" si="13"/>
        <v>1.6219413597903708E-2</v>
      </c>
      <c r="K26" s="16" t="str">
        <f t="shared" si="14"/>
        <v>Significativa</v>
      </c>
      <c r="N26" s="18" t="s">
        <v>23</v>
      </c>
      <c r="O26" s="49">
        <v>67.518165582700902</v>
      </c>
      <c r="P26" s="36">
        <v>1.2736000000000001</v>
      </c>
      <c r="Q26" s="49">
        <f>0.677132*100</f>
        <v>67.713200000000001</v>
      </c>
      <c r="R26" s="36">
        <f>0.0132146*100</f>
        <v>1.3214600000000001</v>
      </c>
      <c r="S26" s="4"/>
      <c r="T26" s="14">
        <f t="shared" si="15"/>
        <v>0.1950344172990981</v>
      </c>
      <c r="U26" s="15">
        <f t="shared" si="16"/>
        <v>1.8352965677513813</v>
      </c>
      <c r="V26" s="15">
        <f t="shared" si="17"/>
        <v>0.10626861114770987</v>
      </c>
      <c r="W26" s="15">
        <f t="shared" si="18"/>
        <v>0.45768461760696733</v>
      </c>
      <c r="X26" s="16" t="str">
        <f t="shared" si="19"/>
        <v>No significativa</v>
      </c>
    </row>
    <row r="27" spans="1:24" x14ac:dyDescent="0.25">
      <c r="A27" s="18" t="s">
        <v>24</v>
      </c>
      <c r="B27" s="49">
        <v>30.451794560686409</v>
      </c>
      <c r="C27" s="36">
        <f>0.0210098*100</f>
        <v>2.1009799999999998</v>
      </c>
      <c r="D27" s="49">
        <f>0.149548*100</f>
        <v>14.954799999999999</v>
      </c>
      <c r="E27" s="36">
        <f>0.0107868*100</f>
        <v>1.0786799999999999</v>
      </c>
      <c r="F27" s="4"/>
      <c r="G27" s="14">
        <f t="shared" si="10"/>
        <v>-15.49699456068641</v>
      </c>
      <c r="H27" s="15">
        <f t="shared" si="11"/>
        <v>2.3617085981974997</v>
      </c>
      <c r="I27" s="15">
        <f t="shared" si="12"/>
        <v>-6.5617725118645067</v>
      </c>
      <c r="J27" s="15">
        <f t="shared" si="13"/>
        <v>2.6585946335432667E-11</v>
      </c>
      <c r="K27" s="16" t="str">
        <f t="shared" si="14"/>
        <v>Significativa</v>
      </c>
      <c r="N27" s="18" t="s">
        <v>24</v>
      </c>
      <c r="O27" s="49">
        <v>16.868538849761979</v>
      </c>
      <c r="P27" s="36">
        <v>1.5833599999999999</v>
      </c>
      <c r="Q27" s="49">
        <f>0.149548*100</f>
        <v>14.954799999999999</v>
      </c>
      <c r="R27" s="36">
        <f>0.0107868*100</f>
        <v>1.0786799999999999</v>
      </c>
      <c r="S27" s="4"/>
      <c r="T27" s="14">
        <f t="shared" si="15"/>
        <v>-1.9137388497619803</v>
      </c>
      <c r="U27" s="15">
        <f t="shared" si="16"/>
        <v>1.9158756306190647</v>
      </c>
      <c r="V27" s="15">
        <f t="shared" si="17"/>
        <v>-0.99888469751223152</v>
      </c>
      <c r="W27" s="15">
        <f t="shared" si="18"/>
        <v>0.15892527497609768</v>
      </c>
      <c r="X27" s="16" t="str">
        <f t="shared" si="19"/>
        <v>No significativa</v>
      </c>
    </row>
    <row r="28" spans="1:24" x14ac:dyDescent="0.25">
      <c r="A28" s="18" t="s">
        <v>25</v>
      </c>
      <c r="B28" s="49">
        <v>42.72162577365178</v>
      </c>
      <c r="C28" s="36">
        <f>0.0269943*100</f>
        <v>2.69943</v>
      </c>
      <c r="D28" s="49">
        <f>0.377517*100</f>
        <v>37.7517</v>
      </c>
      <c r="E28" s="36">
        <f>0.017355*100</f>
        <v>1.7354999999999998</v>
      </c>
      <c r="F28" s="4"/>
      <c r="G28" s="14">
        <f t="shared" si="10"/>
        <v>-4.9699257736517808</v>
      </c>
      <c r="H28" s="15">
        <f t="shared" si="11"/>
        <v>3.2091872140621525</v>
      </c>
      <c r="I28" s="15">
        <f t="shared" si="12"/>
        <v>-1.5486556072124273</v>
      </c>
      <c r="J28" s="15">
        <f t="shared" si="13"/>
        <v>6.0732265405247433E-2</v>
      </c>
      <c r="K28" s="16" t="str">
        <f t="shared" si="14"/>
        <v>No significativa</v>
      </c>
      <c r="N28" s="18" t="s">
        <v>25</v>
      </c>
      <c r="O28" s="49">
        <v>42.083751683010128</v>
      </c>
      <c r="P28" s="36">
        <v>1.82317</v>
      </c>
      <c r="Q28" s="49">
        <f>0.377517*100</f>
        <v>37.7517</v>
      </c>
      <c r="R28" s="36">
        <f>0.017355*100</f>
        <v>1.7354999999999998</v>
      </c>
      <c r="S28" s="4"/>
      <c r="T28" s="14">
        <f t="shared" si="15"/>
        <v>-4.3320516830101283</v>
      </c>
      <c r="U28" s="15">
        <f t="shared" si="16"/>
        <v>2.5171231791273145</v>
      </c>
      <c r="V28" s="15">
        <f t="shared" si="17"/>
        <v>-1.7210328516827089</v>
      </c>
      <c r="W28" s="15">
        <f t="shared" si="18"/>
        <v>4.2622431372146004E-2</v>
      </c>
      <c r="X28" s="16" t="str">
        <f t="shared" si="19"/>
        <v>No significativa</v>
      </c>
    </row>
    <row r="29" spans="1:24" x14ac:dyDescent="0.25">
      <c r="A29" s="18" t="s">
        <v>26</v>
      </c>
      <c r="B29" s="49">
        <v>25.585437590077092</v>
      </c>
      <c r="C29" s="36">
        <f>0.0191218*100</f>
        <v>1.9121800000000002</v>
      </c>
      <c r="D29" s="49">
        <f>0.231501*100</f>
        <v>23.150100000000002</v>
      </c>
      <c r="E29" s="36">
        <f>0.0138033*100</f>
        <v>1.3803299999999998</v>
      </c>
      <c r="F29" s="4"/>
      <c r="G29" s="14">
        <f t="shared" si="10"/>
        <v>-2.4353375900770899</v>
      </c>
      <c r="H29" s="15">
        <f t="shared" si="11"/>
        <v>2.3583348492739535</v>
      </c>
      <c r="I29" s="15">
        <f t="shared" si="12"/>
        <v>-1.0326513178681318</v>
      </c>
      <c r="J29" s="15">
        <f t="shared" si="13"/>
        <v>0.15088355165423012</v>
      </c>
      <c r="K29" s="16" t="str">
        <f t="shared" si="14"/>
        <v>No significativa</v>
      </c>
      <c r="N29" s="18" t="s">
        <v>26</v>
      </c>
      <c r="O29" s="49">
        <v>26.980852838444381</v>
      </c>
      <c r="P29" s="36">
        <v>1.2140599999999999</v>
      </c>
      <c r="Q29" s="49">
        <f>0.231501*100</f>
        <v>23.150100000000002</v>
      </c>
      <c r="R29" s="36">
        <f>0.0138033*100</f>
        <v>1.3803299999999998</v>
      </c>
      <c r="S29" s="4"/>
      <c r="T29" s="14">
        <f t="shared" si="15"/>
        <v>-3.8307528384443792</v>
      </c>
      <c r="U29" s="15">
        <f t="shared" si="16"/>
        <v>1.8382743518038867</v>
      </c>
      <c r="V29" s="15">
        <f t="shared" si="17"/>
        <v>-2.083885267008859</v>
      </c>
      <c r="W29" s="15">
        <f t="shared" si="18"/>
        <v>1.8585302396493728E-2</v>
      </c>
      <c r="X29" s="16" t="str">
        <f t="shared" si="19"/>
        <v>Significativa</v>
      </c>
    </row>
    <row r="30" spans="1:24" x14ac:dyDescent="0.25">
      <c r="A30" s="8" t="s">
        <v>27</v>
      </c>
      <c r="B30" s="49"/>
      <c r="C30" s="36"/>
      <c r="D30" s="49"/>
      <c r="E30" s="36"/>
      <c r="F30" s="4"/>
      <c r="G30" s="14"/>
      <c r="H30" s="15"/>
      <c r="I30" s="15"/>
      <c r="J30" s="15"/>
      <c r="K30" s="16"/>
      <c r="N30" s="8" t="s">
        <v>27</v>
      </c>
      <c r="O30" s="49"/>
      <c r="P30" s="36"/>
      <c r="Q30" s="49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49">
        <v>20.798446777627085</v>
      </c>
      <c r="C31" s="36">
        <f>0.0217552*100</f>
        <v>2.1755199999999997</v>
      </c>
      <c r="D31" s="49">
        <f>0.308699*100</f>
        <v>30.869900000000001</v>
      </c>
      <c r="E31" s="36">
        <f>0.015824*100</f>
        <v>1.5824</v>
      </c>
      <c r="F31" s="22"/>
      <c r="G31" s="14">
        <f>D31-B31</f>
        <v>10.071453222372917</v>
      </c>
      <c r="H31" s="15">
        <f>SQRT(((E31^2)+(C31^2)))</f>
        <v>2.6901444255652889</v>
      </c>
      <c r="I31" s="15">
        <f>(D31-B31)/SQRT(((E31^2)+(C31^2)))</f>
        <v>3.7438336494727671</v>
      </c>
      <c r="J31" s="15">
        <f>IF(I31&gt;0,(1-NORMSDIST(I31)),(NORMSDIST(I31)))</f>
        <v>9.0616832871148745E-5</v>
      </c>
      <c r="K31" s="16" t="str">
        <f>IF(J31&lt;0.025,"Significativa","No significativa")</f>
        <v>Significativa</v>
      </c>
      <c r="N31" s="21" t="s">
        <v>28</v>
      </c>
      <c r="O31" s="49">
        <v>32.211569397078691</v>
      </c>
      <c r="P31" s="36">
        <v>1.60317</v>
      </c>
      <c r="Q31" s="49">
        <f>0.308699*100</f>
        <v>30.869900000000001</v>
      </c>
      <c r="R31" s="36">
        <f>0.015824*100</f>
        <v>1.5824</v>
      </c>
      <c r="S31" s="22"/>
      <c r="T31" s="14">
        <f>Q31-O31</f>
        <v>-1.3416693970786895</v>
      </c>
      <c r="U31" s="15">
        <f>SQRT(((R31^2)+(P31^2)))</f>
        <v>2.2525860269698916</v>
      </c>
      <c r="V31" s="15">
        <f>(Q31-O31)/SQRT(((R31^2)+(P31^2)))</f>
        <v>-0.59561294486207095</v>
      </c>
      <c r="W31" s="15">
        <f>IF(V31&gt;0,(1-NORMSDIST(V31)),(NORMSDIST(V31)))</f>
        <v>0.27571691344448274</v>
      </c>
      <c r="X31" s="16" t="str">
        <f>IF(W31&lt;0.025,"Significativa","No significativa")</f>
        <v>No significativa</v>
      </c>
    </row>
    <row r="32" spans="1:24" ht="15.75" thickBot="1" x14ac:dyDescent="0.3">
      <c r="A32" s="23" t="s">
        <v>29</v>
      </c>
      <c r="B32" s="48">
        <v>54.340559472028971</v>
      </c>
      <c r="C32" s="33">
        <f>0.0171367*100</f>
        <v>1.71367</v>
      </c>
      <c r="D32" s="47">
        <f>0.664174*100</f>
        <v>66.417400000000001</v>
      </c>
      <c r="E32" s="33">
        <f>0.0165366*100</f>
        <v>1.6536599999999999</v>
      </c>
      <c r="F32" s="24"/>
      <c r="G32" s="32">
        <f>D32-B32</f>
        <v>12.076840527971029</v>
      </c>
      <c r="H32" s="25">
        <f>SQRT(((E32^2)+(C32^2)))</f>
        <v>2.3814399560979909</v>
      </c>
      <c r="I32" s="25">
        <f>(D32-B32)/SQRT(((E32^2)+(C32^2)))</f>
        <v>5.0712345264245222</v>
      </c>
      <c r="J32" s="25">
        <f>IF(I32&gt;0,(1-NORMSDIST(I32)),(NORMSDIST(I32)))</f>
        <v>1.9762166503234369E-7</v>
      </c>
      <c r="K32" s="26" t="str">
        <f>IF(J32&lt;0.025,"Significativa","No significativa")</f>
        <v>Significativa</v>
      </c>
      <c r="N32" s="23" t="s">
        <v>29</v>
      </c>
      <c r="O32" s="48">
        <v>67.925657390736376</v>
      </c>
      <c r="P32" s="33">
        <v>1.56979</v>
      </c>
      <c r="Q32" s="47">
        <f>0.664174*100</f>
        <v>66.417400000000001</v>
      </c>
      <c r="R32" s="33">
        <f>0.0165366*100</f>
        <v>1.6536599999999999</v>
      </c>
      <c r="S32" s="24"/>
      <c r="T32" s="32">
        <f>Q32-O32</f>
        <v>-1.5082573907363752</v>
      </c>
      <c r="U32" s="25">
        <f>SQRT(((R32^2)+(P32^2)))</f>
        <v>2.2800947435797485</v>
      </c>
      <c r="V32" s="25">
        <f>(Q32-O32)/SQRT(((R32^2)+(P32^2)))</f>
        <v>-0.6614889118021523</v>
      </c>
      <c r="W32" s="25">
        <f>IF(V32&gt;0,(1-NORMSDIST(V32)),(NORMSDIST(V32)))</f>
        <v>0.25414941159869975</v>
      </c>
      <c r="X32" s="26" t="str">
        <f>IF(W32&lt;0.025,"Significativa","No significativa")</f>
        <v>No 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9:X9"/>
    <mergeCell ref="A10:K10"/>
    <mergeCell ref="N10:X10"/>
    <mergeCell ref="A11:A12"/>
    <mergeCell ref="B11:C11"/>
    <mergeCell ref="D11:E11"/>
    <mergeCell ref="I11:I12"/>
    <mergeCell ref="J11:J12"/>
    <mergeCell ref="X11:X12"/>
    <mergeCell ref="G12:H12"/>
    <mergeCell ref="T12:U12"/>
    <mergeCell ref="K11:K12"/>
    <mergeCell ref="N11:N12"/>
    <mergeCell ref="O11:P11"/>
    <mergeCell ref="Q11:R11"/>
    <mergeCell ref="V11:V12"/>
    <mergeCell ref="W11:W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B51D-8E1A-4CC5-BF76-CCA7999E1A23}">
  <dimension ref="A4:X34"/>
  <sheetViews>
    <sheetView workbookViewId="0">
      <selection activeCell="N3" sqref="N3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61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60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49">
        <v>47.026960884707336</v>
      </c>
      <c r="C14" s="36">
        <f>0.01716*100</f>
        <v>1.7160000000000002</v>
      </c>
      <c r="D14" s="49">
        <f>0.478437*100</f>
        <v>47.843699999999998</v>
      </c>
      <c r="E14" s="36">
        <f>0.0127138*100</f>
        <v>1.2713800000000002</v>
      </c>
      <c r="F14" s="4"/>
      <c r="G14" s="14">
        <f t="shared" ref="G14:G19" si="0">D14-B14</f>
        <v>0.81673911529266263</v>
      </c>
      <c r="H14" s="15">
        <f t="shared" ref="H14:H19" si="1">SQRT(E14*E14+C14*C14)</f>
        <v>2.1356645580240361</v>
      </c>
      <c r="I14" s="15">
        <f t="shared" ref="I14:I19" si="2">G14/H14</f>
        <v>0.38242855706156759</v>
      </c>
      <c r="J14" s="15">
        <f t="shared" ref="J14:J19" si="3">IF(I14&gt;0,(1-NORMSDIST(I14)),(NORMSDIST(I14)))</f>
        <v>0.35107175587335315</v>
      </c>
      <c r="K14" s="16" t="str">
        <f t="shared" ref="K14:K19" si="4">IF(J14&lt;0.025,"Significativa","No significativa")</f>
        <v>No significativa</v>
      </c>
      <c r="N14" s="13" t="s">
        <v>11</v>
      </c>
      <c r="O14" s="49">
        <v>40.798022432487777</v>
      </c>
      <c r="P14" s="36">
        <v>1.6536200000000001</v>
      </c>
      <c r="Q14" s="49">
        <f>0.478437*100</f>
        <v>47.843699999999998</v>
      </c>
      <c r="R14" s="36">
        <f>0.0127138*100</f>
        <v>1.2713800000000002</v>
      </c>
      <c r="S14" s="4"/>
      <c r="T14" s="14">
        <f t="shared" ref="T14:T19" si="5">Q14-O14</f>
        <v>7.0456775675122216</v>
      </c>
      <c r="U14" s="15">
        <f t="shared" ref="U14:U19" si="6">SQRT(R14*R14+P14*P14)</f>
        <v>2.0858730087903243</v>
      </c>
      <c r="V14" s="15">
        <f t="shared" ref="V14:V19" si="7">T14/U14</f>
        <v>3.3778075356554296</v>
      </c>
      <c r="W14" s="15">
        <f t="shared" ref="W14:W19" si="8">IF(V14&gt;0,(1-NORMSDIST(V14)),(NORMSDIST(V14)))</f>
        <v>3.6533100255620177E-4</v>
      </c>
      <c r="X14" s="16" t="str">
        <f t="shared" ref="X14:X19" si="9">IF(W14&lt;0.025,"Significativa","No significativa")</f>
        <v>Significativa</v>
      </c>
    </row>
    <row r="15" spans="1:24" x14ac:dyDescent="0.25">
      <c r="A15" s="13" t="s">
        <v>12</v>
      </c>
      <c r="B15" s="49">
        <v>38.165836480126593</v>
      </c>
      <c r="C15" s="36">
        <f>0.0152912*100</f>
        <v>1.52912</v>
      </c>
      <c r="D15" s="49">
        <f>0.364192*100</f>
        <v>36.419200000000004</v>
      </c>
      <c r="E15" s="36">
        <f>0.0108715*100</f>
        <v>1.0871499999999998</v>
      </c>
      <c r="F15" s="4"/>
      <c r="G15" s="14">
        <f t="shared" si="0"/>
        <v>-1.7466364801265897</v>
      </c>
      <c r="H15" s="15">
        <f t="shared" si="1"/>
        <v>1.876193779144361</v>
      </c>
      <c r="I15" s="15">
        <f t="shared" si="2"/>
        <v>-0.93094673884013412</v>
      </c>
      <c r="J15" s="15">
        <f t="shared" si="3"/>
        <v>0.17594055787948371</v>
      </c>
      <c r="K15" s="16" t="str">
        <f t="shared" si="4"/>
        <v>No significativa</v>
      </c>
      <c r="N15" s="13" t="s">
        <v>12</v>
      </c>
      <c r="O15" s="49">
        <v>34.133065356504027</v>
      </c>
      <c r="P15" s="36">
        <v>1.2596100000000001</v>
      </c>
      <c r="Q15" s="49">
        <f>0.364192*100</f>
        <v>36.419200000000004</v>
      </c>
      <c r="R15" s="36">
        <f>0.0108715*100</f>
        <v>1.0871499999999998</v>
      </c>
      <c r="S15" s="4"/>
      <c r="T15" s="14">
        <f t="shared" si="5"/>
        <v>2.2861346434959771</v>
      </c>
      <c r="U15" s="15">
        <f t="shared" si="6"/>
        <v>1.6638847540019108</v>
      </c>
      <c r="V15" s="15">
        <f t="shared" si="7"/>
        <v>1.3739741517538731</v>
      </c>
      <c r="W15" s="15">
        <f t="shared" si="8"/>
        <v>8.472485358829307E-2</v>
      </c>
      <c r="X15" s="16" t="str">
        <f t="shared" si="9"/>
        <v>No significativa</v>
      </c>
    </row>
    <row r="16" spans="1:24" x14ac:dyDescent="0.25">
      <c r="A16" s="13" t="s">
        <v>13</v>
      </c>
      <c r="B16" s="49">
        <v>8.8611244045807425</v>
      </c>
      <c r="C16" s="36">
        <f>0.0127787*100</f>
        <v>1.2778700000000001</v>
      </c>
      <c r="D16" s="49">
        <f>0.114244*100</f>
        <v>11.4244</v>
      </c>
      <c r="E16" s="36">
        <f>0.0081232*100</f>
        <v>0.81232000000000004</v>
      </c>
      <c r="F16" s="4"/>
      <c r="G16" s="14">
        <f t="shared" si="0"/>
        <v>2.5632755954192579</v>
      </c>
      <c r="H16" s="15">
        <f t="shared" si="1"/>
        <v>1.514204583040218</v>
      </c>
      <c r="I16" s="15">
        <f t="shared" si="2"/>
        <v>1.692819863398324</v>
      </c>
      <c r="J16" s="15">
        <f t="shared" si="3"/>
        <v>4.5244880289834533E-2</v>
      </c>
      <c r="K16" s="16" t="str">
        <f t="shared" si="4"/>
        <v>No significativa</v>
      </c>
      <c r="N16" s="13" t="s">
        <v>13</v>
      </c>
      <c r="O16" s="49">
        <v>6.6649570759837546</v>
      </c>
      <c r="P16" s="36">
        <v>0.98324999999999996</v>
      </c>
      <c r="Q16" s="49">
        <f>0.114244*100</f>
        <v>11.4244</v>
      </c>
      <c r="R16" s="36">
        <f>0.0081232*100</f>
        <v>0.81232000000000004</v>
      </c>
      <c r="S16" s="4"/>
      <c r="T16" s="14">
        <f t="shared" si="5"/>
        <v>4.7594429240162457</v>
      </c>
      <c r="U16" s="15">
        <f t="shared" si="6"/>
        <v>1.2753996804531511</v>
      </c>
      <c r="V16" s="15">
        <f t="shared" si="7"/>
        <v>3.7317266084975103</v>
      </c>
      <c r="W16" s="15">
        <f t="shared" si="8"/>
        <v>9.5085914790460357E-5</v>
      </c>
      <c r="X16" s="16" t="str">
        <f t="shared" si="9"/>
        <v>Significativa</v>
      </c>
    </row>
    <row r="17" spans="1:24" x14ac:dyDescent="0.25">
      <c r="A17" s="13" t="s">
        <v>14</v>
      </c>
      <c r="B17" s="49">
        <v>29.536476445325643</v>
      </c>
      <c r="C17" s="36">
        <f>0.01312*100</f>
        <v>1.3120000000000001</v>
      </c>
      <c r="D17" s="49">
        <f>0.258996*100</f>
        <v>25.8996</v>
      </c>
      <c r="E17" s="36">
        <f>0.0099195*100</f>
        <v>0.99195</v>
      </c>
      <c r="F17" s="4"/>
      <c r="G17" s="14">
        <f t="shared" si="0"/>
        <v>-3.6368764453256439</v>
      </c>
      <c r="H17" s="15">
        <f t="shared" si="1"/>
        <v>1.6447822963845398</v>
      </c>
      <c r="I17" s="15">
        <f t="shared" si="2"/>
        <v>-2.2111597707003559</v>
      </c>
      <c r="J17" s="15">
        <f t="shared" si="3"/>
        <v>1.3512387555128038E-2</v>
      </c>
      <c r="K17" s="16" t="str">
        <f t="shared" si="4"/>
        <v>Significativa</v>
      </c>
      <c r="N17" s="13" t="s">
        <v>14</v>
      </c>
      <c r="O17" s="49">
        <v>33.28786003345482</v>
      </c>
      <c r="P17" s="36">
        <v>1.29478</v>
      </c>
      <c r="Q17" s="49">
        <f>0.258996*100</f>
        <v>25.8996</v>
      </c>
      <c r="R17" s="36">
        <f>0.0099195*100</f>
        <v>0.99195</v>
      </c>
      <c r="S17" s="4"/>
      <c r="T17" s="14">
        <f t="shared" si="5"/>
        <v>-7.3882600334548201</v>
      </c>
      <c r="U17" s="15">
        <f t="shared" si="6"/>
        <v>1.6310794128122641</v>
      </c>
      <c r="V17" s="15">
        <f t="shared" si="7"/>
        <v>-4.529675241695422</v>
      </c>
      <c r="W17" s="15">
        <f t="shared" si="8"/>
        <v>2.9537209491610619E-6</v>
      </c>
      <c r="X17" s="16" t="str">
        <f t="shared" si="9"/>
        <v>Significativa</v>
      </c>
    </row>
    <row r="18" spans="1:24" x14ac:dyDescent="0.25">
      <c r="A18" s="13" t="s">
        <v>15</v>
      </c>
      <c r="B18" s="49">
        <v>4.7495104172121598</v>
      </c>
      <c r="C18" s="36">
        <f>0.0045146*100</f>
        <v>0.45145999999999997</v>
      </c>
      <c r="D18" s="49">
        <f>0.0773982*100</f>
        <v>7.7398199999999999</v>
      </c>
      <c r="E18" s="36">
        <f>0.0061203*100</f>
        <v>0.61203000000000007</v>
      </c>
      <c r="F18" s="4"/>
      <c r="G18" s="14">
        <f t="shared" si="0"/>
        <v>2.9903095827878401</v>
      </c>
      <c r="H18" s="15">
        <f t="shared" si="1"/>
        <v>0.76052406437929365</v>
      </c>
      <c r="I18" s="15">
        <f t="shared" si="2"/>
        <v>3.9319065928944661</v>
      </c>
      <c r="J18" s="15">
        <f t="shared" si="3"/>
        <v>4.2137406238595965E-5</v>
      </c>
      <c r="K18" s="16" t="str">
        <f t="shared" si="4"/>
        <v>Significativa</v>
      </c>
      <c r="N18" s="13" t="s">
        <v>15</v>
      </c>
      <c r="O18" s="49">
        <v>5.4760062270179359</v>
      </c>
      <c r="P18" s="36">
        <v>0.57463999999999993</v>
      </c>
      <c r="Q18" s="49">
        <f>0.0773982*100</f>
        <v>7.7398199999999999</v>
      </c>
      <c r="R18" s="36">
        <f>0.0061203*100</f>
        <v>0.61203000000000007</v>
      </c>
      <c r="S18" s="4"/>
      <c r="T18" s="14">
        <f t="shared" si="5"/>
        <v>2.263813772982064</v>
      </c>
      <c r="U18" s="15">
        <f t="shared" si="6"/>
        <v>0.83951882081344675</v>
      </c>
      <c r="V18" s="15">
        <f t="shared" si="7"/>
        <v>2.6965610738643777</v>
      </c>
      <c r="W18" s="15">
        <f t="shared" si="8"/>
        <v>3.5029774473962494E-3</v>
      </c>
      <c r="X18" s="16" t="str">
        <f t="shared" si="9"/>
        <v>Significativa</v>
      </c>
    </row>
    <row r="19" spans="1:24" x14ac:dyDescent="0.25">
      <c r="A19" s="13" t="s">
        <v>16</v>
      </c>
      <c r="B19" s="49">
        <v>18.68705225275486</v>
      </c>
      <c r="C19" s="36">
        <f>0.009511*100</f>
        <v>0.95110000000000006</v>
      </c>
      <c r="D19" s="49">
        <f>0.185169*100</f>
        <v>18.5169</v>
      </c>
      <c r="E19" s="36">
        <f>0.0089378*100</f>
        <v>0.89377999999999991</v>
      </c>
      <c r="F19" s="4"/>
      <c r="G19" s="14">
        <f t="shared" si="0"/>
        <v>-0.17015225275486046</v>
      </c>
      <c r="H19" s="15">
        <f t="shared" si="1"/>
        <v>1.3051566566508406</v>
      </c>
      <c r="I19" s="15">
        <f t="shared" si="2"/>
        <v>-0.13036921804581508</v>
      </c>
      <c r="J19" s="15">
        <f t="shared" si="3"/>
        <v>0.44813715957792033</v>
      </c>
      <c r="K19" s="16" t="str">
        <f t="shared" si="4"/>
        <v>No significativa</v>
      </c>
      <c r="N19" s="13" t="s">
        <v>16</v>
      </c>
      <c r="O19" s="49">
        <v>20.438111307039467</v>
      </c>
      <c r="P19" s="36">
        <v>0.97619999999999996</v>
      </c>
      <c r="Q19" s="49">
        <f>0.185169*100</f>
        <v>18.5169</v>
      </c>
      <c r="R19" s="36">
        <f>0.0089378*100</f>
        <v>0.89377999999999991</v>
      </c>
      <c r="S19" s="4"/>
      <c r="T19" s="14">
        <f t="shared" si="5"/>
        <v>-1.9212113070394672</v>
      </c>
      <c r="U19" s="15">
        <f t="shared" si="6"/>
        <v>1.3235592651634454</v>
      </c>
      <c r="V19" s="15">
        <f t="shared" si="7"/>
        <v>-1.4515491354308325</v>
      </c>
      <c r="W19" s="15">
        <f t="shared" si="8"/>
        <v>7.3313505274784654E-2</v>
      </c>
      <c r="X19" s="16" t="str">
        <f t="shared" si="9"/>
        <v>No significativa</v>
      </c>
    </row>
    <row r="20" spans="1:24" x14ac:dyDescent="0.25">
      <c r="A20" s="17" t="s">
        <v>17</v>
      </c>
      <c r="B20" s="49"/>
      <c r="C20" s="36"/>
      <c r="D20" s="49"/>
      <c r="E20" s="36"/>
      <c r="F20" s="4"/>
      <c r="G20" s="14"/>
      <c r="H20" s="15"/>
      <c r="I20" s="15"/>
      <c r="J20" s="15"/>
      <c r="K20" s="16"/>
      <c r="N20" s="17" t="s">
        <v>17</v>
      </c>
      <c r="O20" s="49"/>
      <c r="P20" s="36"/>
      <c r="Q20" s="49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49">
        <v>76.563437330032983</v>
      </c>
      <c r="C21" s="36">
        <f>0.0111452*100</f>
        <v>1.11452</v>
      </c>
      <c r="D21" s="49">
        <f>0.737433*100</f>
        <v>73.743300000000005</v>
      </c>
      <c r="E21" s="36">
        <f>0.009535*100</f>
        <v>0.95350000000000001</v>
      </c>
      <c r="F21" s="4"/>
      <c r="G21" s="14">
        <f>D21-B21</f>
        <v>-2.8201373300329777</v>
      </c>
      <c r="H21" s="15">
        <f>SQRT(E21*E21+C21*C21)</f>
        <v>1.4667368817889594</v>
      </c>
      <c r="I21" s="15">
        <f>G21/H21</f>
        <v>-1.9227288582211786</v>
      </c>
      <c r="J21" s="15">
        <f>IF(I21&gt;0,(1-NORMSDIST(I21)),(NORMSDIST(I21)))</f>
        <v>2.7257055321173833E-2</v>
      </c>
      <c r="K21" s="16" t="str">
        <f>IF(J21&lt;0.025,"Significativa","No significativa")</f>
        <v>No significativa</v>
      </c>
      <c r="N21" s="18" t="s">
        <v>18</v>
      </c>
      <c r="O21" s="49">
        <v>74.085882465942603</v>
      </c>
      <c r="P21" s="36">
        <v>1.09097</v>
      </c>
      <c r="Q21" s="49">
        <f>0.737433*100</f>
        <v>73.743300000000005</v>
      </c>
      <c r="R21" s="36">
        <f>0.009535*100</f>
        <v>0.95350000000000001</v>
      </c>
      <c r="S21" s="4"/>
      <c r="T21" s="14">
        <f>Q21-O21</f>
        <v>-0.34258246594259845</v>
      </c>
      <c r="U21" s="15">
        <f>SQRT(R21*R21+P21*P21)</f>
        <v>1.4489229761792033</v>
      </c>
      <c r="V21" s="15">
        <f>T21/U21</f>
        <v>-0.23643939089570193</v>
      </c>
      <c r="W21" s="15">
        <f>IF(V21&gt;0,(1-NORMSDIST(V21)),(NORMSDIST(V21)))</f>
        <v>0.40654586650239</v>
      </c>
      <c r="X21" s="16" t="str">
        <f>IF(W21&lt;0.025,"Significativa","No significativa")</f>
        <v>No significativa</v>
      </c>
    </row>
    <row r="22" spans="1:24" x14ac:dyDescent="0.25">
      <c r="A22" s="18" t="s">
        <v>19</v>
      </c>
      <c r="B22" s="49">
        <v>35.238813221249941</v>
      </c>
      <c r="C22" s="36">
        <f>0.02004*100</f>
        <v>2.004</v>
      </c>
      <c r="D22" s="49">
        <f>0.27272*100</f>
        <v>27.272000000000002</v>
      </c>
      <c r="E22" s="36">
        <f>0.0108817*100</f>
        <v>1.0881699999999999</v>
      </c>
      <c r="F22" s="4"/>
      <c r="G22" s="14">
        <f>D22-B22</f>
        <v>-7.9668132212499394</v>
      </c>
      <c r="H22" s="15">
        <f>SQRT(E22*E22+C22*C22)</f>
        <v>2.2803793432014769</v>
      </c>
      <c r="I22" s="15">
        <f>G22/H22</f>
        <v>-3.493635059009589</v>
      </c>
      <c r="J22" s="15">
        <f>IF(I22&gt;0,(1-NORMSDIST(I22)),(NORMSDIST(I22)))</f>
        <v>2.3824594719732808E-4</v>
      </c>
      <c r="K22" s="16" t="str">
        <f>IF(J22&lt;0.025,"Significativa","No significativa")</f>
        <v>Significativa</v>
      </c>
      <c r="N22" s="18" t="s">
        <v>19</v>
      </c>
      <c r="O22" s="49">
        <v>25.119021944982595</v>
      </c>
      <c r="P22" s="36">
        <v>1.2780100000000001</v>
      </c>
      <c r="Q22" s="49">
        <f>0.27272*100</f>
        <v>27.272000000000002</v>
      </c>
      <c r="R22" s="36">
        <f>0.0108817*100</f>
        <v>1.0881699999999999</v>
      </c>
      <c r="S22" s="4"/>
      <c r="T22" s="14">
        <f>Q22-O22</f>
        <v>2.1529780550174067</v>
      </c>
      <c r="U22" s="15">
        <f>SQRT(R22*R22+P22*P22)</f>
        <v>1.6785182480390257</v>
      </c>
      <c r="V22" s="15">
        <f>T22/U22</f>
        <v>1.2826658617102802</v>
      </c>
      <c r="W22" s="15">
        <f>IF(V22&gt;0,(1-NORMSDIST(V22)),(NORMSDIST(V22)))</f>
        <v>9.9804582486148319E-2</v>
      </c>
      <c r="X22" s="16" t="str">
        <f>IF(W22&lt;0.025,"Significativa","No significativa")</f>
        <v>No significativa</v>
      </c>
    </row>
    <row r="23" spans="1:24" x14ac:dyDescent="0.25">
      <c r="A23" s="19" t="s">
        <v>20</v>
      </c>
      <c r="B23" s="49"/>
      <c r="C23" s="36"/>
      <c r="D23" s="49"/>
      <c r="E23" s="36"/>
      <c r="F23" s="4"/>
      <c r="G23" s="14"/>
      <c r="H23" s="15"/>
      <c r="I23" s="15"/>
      <c r="J23" s="15"/>
      <c r="K23" s="16"/>
      <c r="N23" s="19" t="s">
        <v>20</v>
      </c>
      <c r="O23" s="49"/>
      <c r="P23" s="36"/>
      <c r="Q23" s="49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49">
        <v>26.229712192205767</v>
      </c>
      <c r="C24" s="36">
        <f>0.0091838*100</f>
        <v>0.91838000000000009</v>
      </c>
      <c r="D24" s="49">
        <f>0.190685*100</f>
        <v>19.0685</v>
      </c>
      <c r="E24" s="36">
        <f>0.0064599*100</f>
        <v>0.64599000000000006</v>
      </c>
      <c r="F24" s="4"/>
      <c r="G24" s="14">
        <f t="shared" ref="G24:G29" si="10">D24-B24</f>
        <v>-7.1612121922057668</v>
      </c>
      <c r="H24" s="15">
        <f t="shared" ref="H24:H29" si="11">SQRT(E24*E24+C24*C24)</f>
        <v>1.1228200677312461</v>
      </c>
      <c r="I24" s="15">
        <f t="shared" ref="I24:I29" si="12">G24/H24</f>
        <v>-6.3778804797064304</v>
      </c>
      <c r="J24" s="15">
        <f t="shared" ref="J24:J29" si="13">IF(I24&gt;0,(1-NORMSDIST(I24)),(NORMSDIST(I24)))</f>
        <v>8.9777775092177079E-11</v>
      </c>
      <c r="K24" s="16" t="str">
        <f t="shared" ref="K24:K29" si="14">IF(J24&lt;0.025,"Significativa","No significativa")</f>
        <v>Significativa</v>
      </c>
      <c r="N24" s="20" t="s">
        <v>21</v>
      </c>
      <c r="O24" s="49">
        <v>19.702096272306989</v>
      </c>
      <c r="P24" s="36">
        <v>0.72799000000000003</v>
      </c>
      <c r="Q24" s="49">
        <f>0.190685*100</f>
        <v>19.0685</v>
      </c>
      <c r="R24" s="36">
        <f>0.0064599*100</f>
        <v>0.64599000000000006</v>
      </c>
      <c r="S24" s="4"/>
      <c r="T24" s="14">
        <f t="shared" ref="T24:T29" si="15">Q24-O24</f>
        <v>-0.63359627230698834</v>
      </c>
      <c r="U24" s="15">
        <f t="shared" ref="U24:U29" si="16">SQRT(R24*R24+P24*P24)</f>
        <v>0.97327926115786523</v>
      </c>
      <c r="V24" s="15">
        <f t="shared" ref="V24:V29" si="17">T24/U24</f>
        <v>-0.65099123919811896</v>
      </c>
      <c r="W24" s="15">
        <f t="shared" ref="W24:W29" si="18">IF(V24&gt;0,(1-NORMSDIST(V24)),(NORMSDIST(V24)))</f>
        <v>0.25752607110820758</v>
      </c>
      <c r="X24" s="16" t="str">
        <f t="shared" ref="X24:X29" si="19">IF(W24&lt;0.025,"Significativa","No significativa")</f>
        <v>No significativa</v>
      </c>
    </row>
    <row r="25" spans="1:24" x14ac:dyDescent="0.25">
      <c r="A25" s="18" t="s">
        <v>22</v>
      </c>
      <c r="B25" s="49">
        <v>26.932523385128608</v>
      </c>
      <c r="C25" s="36">
        <f>0.014178*100</f>
        <v>1.4177999999999999</v>
      </c>
      <c r="D25" s="49">
        <f>0.247437*100</f>
        <v>24.7437</v>
      </c>
      <c r="E25" s="36">
        <f>0.0089284*100</f>
        <v>0.89283999999999997</v>
      </c>
      <c r="F25" s="4"/>
      <c r="G25" s="14">
        <f t="shared" si="10"/>
        <v>-2.1888233851286074</v>
      </c>
      <c r="H25" s="15">
        <f t="shared" si="11"/>
        <v>1.67550592526556</v>
      </c>
      <c r="I25" s="15">
        <f t="shared" si="12"/>
        <v>-1.3063656488004893</v>
      </c>
      <c r="J25" s="15">
        <f t="shared" si="13"/>
        <v>9.5714120881216128E-2</v>
      </c>
      <c r="K25" s="16" t="str">
        <f t="shared" si="14"/>
        <v>No significativa</v>
      </c>
      <c r="N25" s="18" t="s">
        <v>22</v>
      </c>
      <c r="O25" s="49">
        <v>14.064071592583396</v>
      </c>
      <c r="P25" s="36">
        <v>0.67936000000000007</v>
      </c>
      <c r="Q25" s="49">
        <f>0.247437*100</f>
        <v>24.7437</v>
      </c>
      <c r="R25" s="36">
        <f>0.0089284*100</f>
        <v>0.89283999999999997</v>
      </c>
      <c r="S25" s="4"/>
      <c r="T25" s="14">
        <f t="shared" si="15"/>
        <v>10.679628407416605</v>
      </c>
      <c r="U25" s="15">
        <f t="shared" si="16"/>
        <v>1.1219150035541909</v>
      </c>
      <c r="V25" s="15">
        <f t="shared" si="17"/>
        <v>9.5191065041325604</v>
      </c>
      <c r="W25" s="15">
        <f t="shared" si="18"/>
        <v>0</v>
      </c>
      <c r="X25" s="16" t="str">
        <f t="shared" si="19"/>
        <v>Significativa</v>
      </c>
    </row>
    <row r="26" spans="1:24" x14ac:dyDescent="0.25">
      <c r="A26" s="18" t="s">
        <v>23</v>
      </c>
      <c r="B26" s="49">
        <v>61.024751086622317</v>
      </c>
      <c r="C26" s="36">
        <f>0.0150865*100</f>
        <v>1.5086499999999998</v>
      </c>
      <c r="D26" s="49">
        <f>0.533023*100</f>
        <v>53.302300000000002</v>
      </c>
      <c r="E26" s="36">
        <f>0.0123774*100</f>
        <v>1.2377400000000001</v>
      </c>
      <c r="F26" s="4"/>
      <c r="G26" s="14">
        <f t="shared" si="10"/>
        <v>-7.7224510866223142</v>
      </c>
      <c r="H26" s="15">
        <f t="shared" si="11"/>
        <v>1.9514161857738086</v>
      </c>
      <c r="I26" s="15">
        <f t="shared" si="12"/>
        <v>-3.9573572992375672</v>
      </c>
      <c r="J26" s="15">
        <f t="shared" si="13"/>
        <v>3.7891766263524258E-5</v>
      </c>
      <c r="K26" s="16" t="str">
        <f t="shared" si="14"/>
        <v>Significativa</v>
      </c>
      <c r="N26" s="18" t="s">
        <v>23</v>
      </c>
      <c r="O26" s="49">
        <v>55.342757829532665</v>
      </c>
      <c r="P26" s="36">
        <v>1.4681</v>
      </c>
      <c r="Q26" s="49">
        <f>0.533023*100</f>
        <v>53.302300000000002</v>
      </c>
      <c r="R26" s="36">
        <f>0.0123774*100</f>
        <v>1.2377400000000001</v>
      </c>
      <c r="S26" s="4"/>
      <c r="T26" s="14">
        <f t="shared" si="15"/>
        <v>-2.040457829532663</v>
      </c>
      <c r="U26" s="15">
        <f t="shared" si="16"/>
        <v>1.9202390261631495</v>
      </c>
      <c r="V26" s="15">
        <f t="shared" si="17"/>
        <v>-1.0626061660717958</v>
      </c>
      <c r="W26" s="15">
        <f t="shared" si="18"/>
        <v>0.14398029478995211</v>
      </c>
      <c r="X26" s="16" t="str">
        <f t="shared" si="19"/>
        <v>No significativa</v>
      </c>
    </row>
    <row r="27" spans="1:24" x14ac:dyDescent="0.25">
      <c r="A27" s="18" t="s">
        <v>24</v>
      </c>
      <c r="B27" s="49">
        <v>24.339614130471414</v>
      </c>
      <c r="C27" s="36">
        <f>0.0203868*100</f>
        <v>2.0386799999999998</v>
      </c>
      <c r="D27" s="49">
        <f>0.119774*100</f>
        <v>11.977400000000001</v>
      </c>
      <c r="E27" s="36">
        <f>0.0085303*100</f>
        <v>0.85302999999999995</v>
      </c>
      <c r="F27" s="4"/>
      <c r="G27" s="14">
        <f t="shared" si="10"/>
        <v>-12.362214130471413</v>
      </c>
      <c r="H27" s="15">
        <f t="shared" si="11"/>
        <v>2.2099493938323564</v>
      </c>
      <c r="I27" s="15">
        <f t="shared" si="12"/>
        <v>-5.5938901429021559</v>
      </c>
      <c r="J27" s="15">
        <f t="shared" si="13"/>
        <v>1.1101873846583073E-8</v>
      </c>
      <c r="K27" s="16" t="str">
        <f t="shared" si="14"/>
        <v>Significativa</v>
      </c>
      <c r="N27" s="18" t="s">
        <v>24</v>
      </c>
      <c r="O27" s="49">
        <v>13.575479032746212</v>
      </c>
      <c r="P27" s="36">
        <v>1.00027</v>
      </c>
      <c r="Q27" s="49">
        <f>0.119774*100</f>
        <v>11.977400000000001</v>
      </c>
      <c r="R27" s="36">
        <f>0.0085303*100</f>
        <v>0.85302999999999995</v>
      </c>
      <c r="S27" s="4"/>
      <c r="T27" s="14">
        <f t="shared" si="15"/>
        <v>-1.5980790327462113</v>
      </c>
      <c r="U27" s="15">
        <f t="shared" si="16"/>
        <v>1.3146103049192943</v>
      </c>
      <c r="V27" s="15">
        <f t="shared" si="17"/>
        <v>-1.2156294734387614</v>
      </c>
      <c r="W27" s="15">
        <f t="shared" si="18"/>
        <v>0.11206305067855193</v>
      </c>
      <c r="X27" s="16" t="str">
        <f t="shared" si="19"/>
        <v>No significativa</v>
      </c>
    </row>
    <row r="28" spans="1:24" x14ac:dyDescent="0.25">
      <c r="A28" s="18" t="s">
        <v>25</v>
      </c>
      <c r="B28" s="49">
        <v>41.92233767809433</v>
      </c>
      <c r="C28" s="36">
        <f>0.018403*100</f>
        <v>1.8402999999999998</v>
      </c>
      <c r="D28" s="49">
        <f>0.346097*100</f>
        <v>34.609699999999997</v>
      </c>
      <c r="E28" s="36">
        <f>0.0136695*100</f>
        <v>1.3669499999999999</v>
      </c>
      <c r="F28" s="4"/>
      <c r="G28" s="14">
        <f t="shared" si="10"/>
        <v>-7.3126376780943332</v>
      </c>
      <c r="H28" s="15">
        <f t="shared" si="11"/>
        <v>2.292434599394277</v>
      </c>
      <c r="I28" s="15">
        <f t="shared" si="12"/>
        <v>-3.1899002396956186</v>
      </c>
      <c r="J28" s="15">
        <f t="shared" si="13"/>
        <v>7.1160956668603695E-4</v>
      </c>
      <c r="K28" s="16" t="str">
        <f t="shared" si="14"/>
        <v>Significativa</v>
      </c>
      <c r="N28" s="18" t="s">
        <v>25</v>
      </c>
      <c r="O28" s="49">
        <v>38.443952307856812</v>
      </c>
      <c r="P28" s="36">
        <v>1.50366</v>
      </c>
      <c r="Q28" s="49">
        <f>0.346097*100</f>
        <v>34.609699999999997</v>
      </c>
      <c r="R28" s="36">
        <f>0.0136695*100</f>
        <v>1.3669499999999999</v>
      </c>
      <c r="S28" s="4"/>
      <c r="T28" s="14">
        <f t="shared" si="15"/>
        <v>-3.8342523078568149</v>
      </c>
      <c r="U28" s="15">
        <f t="shared" si="16"/>
        <v>2.0321283665408538</v>
      </c>
      <c r="V28" s="15">
        <f t="shared" si="17"/>
        <v>-1.8868159959715474</v>
      </c>
      <c r="W28" s="15">
        <f t="shared" si="18"/>
        <v>2.9592539433015635E-2</v>
      </c>
      <c r="X28" s="16" t="str">
        <f t="shared" si="19"/>
        <v>No significativa</v>
      </c>
    </row>
    <row r="29" spans="1:24" x14ac:dyDescent="0.25">
      <c r="A29" s="18" t="s">
        <v>26</v>
      </c>
      <c r="B29" s="49">
        <v>16.238179109786316</v>
      </c>
      <c r="C29" s="36">
        <f>0.0149221*100</f>
        <v>1.49221</v>
      </c>
      <c r="D29" s="49">
        <f>0.228972*100</f>
        <v>22.897200000000002</v>
      </c>
      <c r="E29" s="36">
        <f>0.0109948*100</f>
        <v>1.09948</v>
      </c>
      <c r="F29" s="4"/>
      <c r="G29" s="14">
        <f t="shared" si="10"/>
        <v>6.6590208902136858</v>
      </c>
      <c r="H29" s="15">
        <f t="shared" si="11"/>
        <v>1.8535228497377636</v>
      </c>
      <c r="I29" s="15">
        <f t="shared" si="12"/>
        <v>3.592629511503354</v>
      </c>
      <c r="J29" s="15">
        <f t="shared" si="13"/>
        <v>1.6367893121427279E-4</v>
      </c>
      <c r="K29" s="16" t="str">
        <f t="shared" si="14"/>
        <v>Significativa</v>
      </c>
      <c r="N29" s="18" t="s">
        <v>26</v>
      </c>
      <c r="O29" s="49">
        <v>19.402842390841428</v>
      </c>
      <c r="P29" s="36">
        <v>1.00695</v>
      </c>
      <c r="Q29" s="49">
        <f>0.228972*100</f>
        <v>22.897200000000002</v>
      </c>
      <c r="R29" s="36">
        <f>0.0109948*100</f>
        <v>1.09948</v>
      </c>
      <c r="S29" s="4"/>
      <c r="T29" s="14">
        <f t="shared" si="15"/>
        <v>3.4943576091585733</v>
      </c>
      <c r="U29" s="15">
        <f t="shared" si="16"/>
        <v>1.4909072985601755</v>
      </c>
      <c r="V29" s="15">
        <f t="shared" si="17"/>
        <v>2.3437792628241905</v>
      </c>
      <c r="W29" s="15">
        <f t="shared" si="18"/>
        <v>9.544732701634695E-3</v>
      </c>
      <c r="X29" s="16" t="str">
        <f t="shared" si="19"/>
        <v>Significativa</v>
      </c>
    </row>
    <row r="30" spans="1:24" x14ac:dyDescent="0.25">
      <c r="A30" s="8" t="s">
        <v>27</v>
      </c>
      <c r="B30" s="49"/>
      <c r="C30" s="36"/>
      <c r="D30" s="49"/>
      <c r="E30" s="36"/>
      <c r="F30" s="4"/>
      <c r="G30" s="14"/>
      <c r="H30" s="15"/>
      <c r="I30" s="15"/>
      <c r="J30" s="15"/>
      <c r="K30" s="16"/>
      <c r="N30" s="8" t="s">
        <v>27</v>
      </c>
      <c r="O30" s="49"/>
      <c r="P30" s="36"/>
      <c r="Q30" s="49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49">
        <v>12.999440550883687</v>
      </c>
      <c r="C31" s="36">
        <f>0.0166894*100</f>
        <v>1.6689400000000001</v>
      </c>
      <c r="D31" s="49">
        <f>0.224945*100</f>
        <v>22.494500000000002</v>
      </c>
      <c r="E31" s="36">
        <f>0.0104578*100</f>
        <v>1.0457799999999999</v>
      </c>
      <c r="F31" s="22"/>
      <c r="G31" s="14">
        <f>D31-B31</f>
        <v>9.4950594491163152</v>
      </c>
      <c r="H31" s="15">
        <f>SQRT(((E31^2)+(C31^2)))</f>
        <v>1.9695219044224921</v>
      </c>
      <c r="I31" s="15">
        <f>(D31-B31)/SQRT(((E31^2)+(C31^2)))</f>
        <v>4.8209971302149492</v>
      </c>
      <c r="J31" s="15">
        <f>IF(I31&gt;0,(1-NORMSDIST(I31)),(NORMSDIST(I31)))</f>
        <v>7.1421206260247061E-7</v>
      </c>
      <c r="K31" s="16" t="str">
        <f>IF(J31&lt;0.025,"Significativa","No significativa")</f>
        <v>Significativa</v>
      </c>
      <c r="N31" s="21" t="s">
        <v>28</v>
      </c>
      <c r="O31" s="49">
        <v>12.511440061327791</v>
      </c>
      <c r="P31" s="36">
        <v>1.5260400000000001</v>
      </c>
      <c r="Q31" s="49">
        <f>0.224945*100</f>
        <v>22.494500000000002</v>
      </c>
      <c r="R31" s="36">
        <f>0.0104578*100</f>
        <v>1.0457799999999999</v>
      </c>
      <c r="S31" s="22"/>
      <c r="T31" s="14">
        <f>Q31-O31</f>
        <v>9.983059938672211</v>
      </c>
      <c r="U31" s="15">
        <f>SQRT(((R31^2)+(P31^2)))</f>
        <v>1.849987537795863</v>
      </c>
      <c r="V31" s="15">
        <f>(Q31-O31)/SQRT(((R31^2)+(P31^2)))</f>
        <v>5.3962849666362418</v>
      </c>
      <c r="W31" s="15">
        <f>IF(V31&gt;0,(1-NORMSDIST(V31)),(NORMSDIST(V31)))</f>
        <v>3.4017430761146272E-8</v>
      </c>
      <c r="X31" s="16" t="str">
        <f>IF(W31&lt;0.025,"Significativa","No significativa")</f>
        <v>Significativa</v>
      </c>
    </row>
    <row r="32" spans="1:24" ht="15.75" thickBot="1" x14ac:dyDescent="0.3">
      <c r="A32" s="23" t="s">
        <v>29</v>
      </c>
      <c r="B32" s="48">
        <v>51.776471301919493</v>
      </c>
      <c r="C32" s="33">
        <f>0.0145237*100</f>
        <v>1.4523700000000002</v>
      </c>
      <c r="D32" s="47">
        <f>0.555835*100</f>
        <v>55.583499999999994</v>
      </c>
      <c r="E32" s="33">
        <f>0.0126206*100</f>
        <v>1.26206</v>
      </c>
      <c r="F32" s="24"/>
      <c r="G32" s="32">
        <f>D32-B32</f>
        <v>3.8070286980805008</v>
      </c>
      <c r="H32" s="25">
        <f>SQRT(((E32^2)+(C32^2)))</f>
        <v>1.9241034432950843</v>
      </c>
      <c r="I32" s="25">
        <f>(D32-B32)/SQRT(((E32^2)+(C32^2)))</f>
        <v>1.9785987657507909</v>
      </c>
      <c r="J32" s="25">
        <f>IF(I32&gt;0,(1-NORMSDIST(I32)),(NORMSDIST(I32)))</f>
        <v>2.3930599369500261E-2</v>
      </c>
      <c r="K32" s="26" t="str">
        <f>IF(J32&lt;0.025,"Significativa","No significativa")</f>
        <v>Significativa</v>
      </c>
      <c r="N32" s="23" t="s">
        <v>29</v>
      </c>
      <c r="O32" s="48">
        <v>46.274028659505717</v>
      </c>
      <c r="P32" s="33">
        <v>1.6577499999999998</v>
      </c>
      <c r="Q32" s="47">
        <f>0.555835*100</f>
        <v>55.583499999999994</v>
      </c>
      <c r="R32" s="33">
        <f>0.0126206*100</f>
        <v>1.26206</v>
      </c>
      <c r="S32" s="24"/>
      <c r="T32" s="32">
        <f>Q32-O32</f>
        <v>9.3094713404942766</v>
      </c>
      <c r="U32" s="25">
        <f>SQRT(((R32^2)+(P32^2)))</f>
        <v>2.0834899822413351</v>
      </c>
      <c r="V32" s="25">
        <f>(Q32-O32)/SQRT(((R32^2)+(P32^2)))</f>
        <v>4.4682102721125254</v>
      </c>
      <c r="W32" s="25">
        <f>IF(V32&gt;0,(1-NORMSDIST(V32)),(NORMSDIST(V32)))</f>
        <v>3.9438376152611809E-6</v>
      </c>
      <c r="X32" s="26" t="str">
        <f>IF(W32&lt;0.025,"Significativa","No significativa")</f>
        <v>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9:X9"/>
    <mergeCell ref="A10:K10"/>
    <mergeCell ref="N10:X10"/>
    <mergeCell ref="A11:A12"/>
    <mergeCell ref="B11:C11"/>
    <mergeCell ref="D11:E11"/>
    <mergeCell ref="I11:I12"/>
    <mergeCell ref="J11:J12"/>
    <mergeCell ref="X11:X12"/>
    <mergeCell ref="G12:H12"/>
    <mergeCell ref="T12:U12"/>
    <mergeCell ref="K11:K12"/>
    <mergeCell ref="N11:N12"/>
    <mergeCell ref="O11:P11"/>
    <mergeCell ref="Q11:R11"/>
    <mergeCell ref="V11:V12"/>
    <mergeCell ref="W11:W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04F0-442E-4EB8-8858-2FC1F8D0DE90}">
  <dimension ref="A4:X34"/>
  <sheetViews>
    <sheetView workbookViewId="0">
      <selection activeCell="L14" sqref="L14"/>
    </sheetView>
  </sheetViews>
  <sheetFormatPr baseColWidth="10" defaultRowHeight="15" x14ac:dyDescent="0.25"/>
  <cols>
    <col min="1" max="1" width="64.7109375" style="1" customWidth="1"/>
    <col min="2" max="5" width="10.7109375" style="1" customWidth="1"/>
    <col min="6" max="6" width="1.7109375" style="1" customWidth="1"/>
    <col min="7" max="9" width="10.7109375" style="1" customWidth="1"/>
    <col min="10" max="10" width="12.7109375" style="1" customWidth="1"/>
    <col min="11" max="11" width="16.5703125" style="1" customWidth="1"/>
    <col min="12" max="13" width="11.42578125" style="1"/>
    <col min="14" max="14" width="64.7109375" style="1" customWidth="1"/>
    <col min="15" max="18" width="10.7109375" style="1" customWidth="1"/>
    <col min="19" max="19" width="1.7109375" style="1" customWidth="1"/>
    <col min="20" max="22" width="10.7109375" style="1" customWidth="1"/>
    <col min="23" max="23" width="12.7109375" style="1" customWidth="1"/>
    <col min="24" max="24" width="16.5703125" style="1" customWidth="1"/>
    <col min="25" max="16384" width="11.42578125" style="1"/>
  </cols>
  <sheetData>
    <row r="4" spans="1:24" x14ac:dyDescent="0.25">
      <c r="A4" s="4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4" x14ac:dyDescent="0.25">
      <c r="A6" s="4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4" x14ac:dyDescent="0.2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4" x14ac:dyDescent="0.25">
      <c r="L8" s="40"/>
      <c r="M8" s="40"/>
      <c r="N8" s="40"/>
      <c r="O8" s="40"/>
      <c r="P8" s="40"/>
      <c r="Q8" s="40"/>
      <c r="R8" s="40"/>
    </row>
    <row r="9" spans="1:24" ht="15" customHeight="1" x14ac:dyDescent="0.25">
      <c r="A9" s="54" t="s">
        <v>63</v>
      </c>
      <c r="B9" s="54"/>
      <c r="C9" s="54"/>
      <c r="D9" s="54"/>
      <c r="E9" s="54"/>
      <c r="F9" s="54"/>
      <c r="G9" s="54"/>
      <c r="H9" s="54"/>
      <c r="I9" s="54"/>
      <c r="J9" s="54"/>
      <c r="K9" s="54"/>
      <c r="N9" s="54" t="s">
        <v>62</v>
      </c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ht="15" customHeight="1" thickBot="1" x14ac:dyDescent="0.3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N10" s="54" t="s">
        <v>33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49.5" customHeight="1" thickTop="1" x14ac:dyDescent="0.25">
      <c r="A11" s="55" t="s">
        <v>1</v>
      </c>
      <c r="B11" s="56">
        <v>2008</v>
      </c>
      <c r="C11" s="56"/>
      <c r="D11" s="56">
        <v>2020</v>
      </c>
      <c r="E11" s="56"/>
      <c r="F11" s="2"/>
      <c r="G11" s="3" t="s">
        <v>2</v>
      </c>
      <c r="H11" s="3" t="s">
        <v>3</v>
      </c>
      <c r="I11" s="52" t="s">
        <v>4</v>
      </c>
      <c r="J11" s="50" t="s">
        <v>5</v>
      </c>
      <c r="K11" s="52" t="s">
        <v>6</v>
      </c>
      <c r="N11" s="55" t="s">
        <v>1</v>
      </c>
      <c r="O11" s="56">
        <v>2018</v>
      </c>
      <c r="P11" s="56"/>
      <c r="Q11" s="56">
        <v>2020</v>
      </c>
      <c r="R11" s="56"/>
      <c r="S11" s="2"/>
      <c r="T11" s="3" t="s">
        <v>2</v>
      </c>
      <c r="U11" s="3" t="s">
        <v>3</v>
      </c>
      <c r="V11" s="52" t="s">
        <v>4</v>
      </c>
      <c r="W11" s="50" t="s">
        <v>5</v>
      </c>
      <c r="X11" s="52" t="s">
        <v>6</v>
      </c>
    </row>
    <row r="12" spans="1:24" ht="39" thickBot="1" x14ac:dyDescent="0.3">
      <c r="A12" s="55"/>
      <c r="B12" s="5" t="s">
        <v>7</v>
      </c>
      <c r="C12" s="6" t="s">
        <v>8</v>
      </c>
      <c r="D12" s="5" t="s">
        <v>7</v>
      </c>
      <c r="E12" s="6" t="s">
        <v>8</v>
      </c>
      <c r="F12" s="7"/>
      <c r="G12" s="53" t="s">
        <v>9</v>
      </c>
      <c r="H12" s="53"/>
      <c r="I12" s="53"/>
      <c r="J12" s="51"/>
      <c r="K12" s="53"/>
      <c r="N12" s="55"/>
      <c r="O12" s="5" t="s">
        <v>7</v>
      </c>
      <c r="P12" s="6" t="s">
        <v>8</v>
      </c>
      <c r="Q12" s="5" t="s">
        <v>7</v>
      </c>
      <c r="R12" s="6" t="s">
        <v>8</v>
      </c>
      <c r="S12" s="7"/>
      <c r="T12" s="53" t="s">
        <v>34</v>
      </c>
      <c r="U12" s="53"/>
      <c r="V12" s="53"/>
      <c r="W12" s="51"/>
      <c r="X12" s="53"/>
    </row>
    <row r="13" spans="1:24" x14ac:dyDescent="0.25">
      <c r="A13" s="8" t="s">
        <v>10</v>
      </c>
      <c r="B13" s="9"/>
      <c r="C13" s="10"/>
      <c r="D13" s="9"/>
      <c r="E13" s="10"/>
      <c r="F13" s="11"/>
      <c r="G13" s="9"/>
      <c r="H13" s="10"/>
      <c r="I13" s="11"/>
      <c r="J13" s="9"/>
      <c r="K13" s="12"/>
      <c r="N13" s="8" t="s">
        <v>10</v>
      </c>
      <c r="O13" s="9"/>
      <c r="P13" s="10"/>
      <c r="Q13" s="9"/>
      <c r="R13" s="10"/>
      <c r="S13" s="11"/>
      <c r="T13" s="9"/>
      <c r="U13" s="10"/>
      <c r="V13" s="11"/>
      <c r="W13" s="9"/>
      <c r="X13" s="12"/>
    </row>
    <row r="14" spans="1:24" x14ac:dyDescent="0.25">
      <c r="A14" s="13" t="s">
        <v>11</v>
      </c>
      <c r="B14" s="38">
        <v>50.131569171749099</v>
      </c>
      <c r="C14" s="36">
        <f>0.0207695*100</f>
        <v>2.0769500000000001</v>
      </c>
      <c r="D14" s="38">
        <f>0.437571*100</f>
        <v>43.757100000000001</v>
      </c>
      <c r="E14" s="36">
        <f>0.0133674*100</f>
        <v>1.33674</v>
      </c>
      <c r="F14" s="4"/>
      <c r="G14" s="14">
        <f t="shared" ref="G14:G19" si="0">D14-B14</f>
        <v>-6.374469171749098</v>
      </c>
      <c r="H14" s="15">
        <f t="shared" ref="H14:H19" si="1">SQRT(E14*E14+C14*C14)</f>
        <v>2.4699382846743356</v>
      </c>
      <c r="I14" s="15">
        <f t="shared" ref="I14:I19" si="2">G14/H14</f>
        <v>-2.5808212339967755</v>
      </c>
      <c r="J14" s="15">
        <f t="shared" ref="J14:J19" si="3">IF(I14&gt;0,(1-NORMSDIST(I14)),(NORMSDIST(I14)))</f>
        <v>4.9282803540382728E-3</v>
      </c>
      <c r="K14" s="16" t="str">
        <f t="shared" ref="K14:K19" si="4">IF(J14&lt;0.025,"Significativa","No significativa")</f>
        <v>Significativa</v>
      </c>
      <c r="N14" s="13" t="s">
        <v>11</v>
      </c>
      <c r="O14" s="38">
        <v>46.761318605111946</v>
      </c>
      <c r="P14" s="36">
        <v>1.43245</v>
      </c>
      <c r="Q14" s="38">
        <f>0.437571*100</f>
        <v>43.757100000000001</v>
      </c>
      <c r="R14" s="36">
        <f>0.0133674*100</f>
        <v>1.33674</v>
      </c>
      <c r="S14" s="4"/>
      <c r="T14" s="14">
        <f t="shared" ref="T14:T19" si="5">Q14-O14</f>
        <v>-3.0042186051119444</v>
      </c>
      <c r="U14" s="15">
        <f t="shared" ref="U14:U19" si="6">SQRT(R14*R14+P14*P14)</f>
        <v>1.9592822231878695</v>
      </c>
      <c r="V14" s="15">
        <f t="shared" ref="V14:V19" si="7">T14/U14</f>
        <v>-1.5333261178799964</v>
      </c>
      <c r="W14" s="15">
        <f t="shared" ref="W14:W19" si="8">IF(V14&gt;0,(1-NORMSDIST(V14)),(NORMSDIST(V14)))</f>
        <v>6.259776125278857E-2</v>
      </c>
      <c r="X14" s="16" t="str">
        <f t="shared" ref="X14:X19" si="9">IF(W14&lt;0.025,"Significativa","No significativa")</f>
        <v>No significativa</v>
      </c>
    </row>
    <row r="15" spans="1:24" x14ac:dyDescent="0.25">
      <c r="A15" s="13" t="s">
        <v>12</v>
      </c>
      <c r="B15" s="38">
        <v>40.645958705651125</v>
      </c>
      <c r="C15" s="36">
        <f xml:space="preserve">  0.016718*100</f>
        <v>1.6718</v>
      </c>
      <c r="D15" s="38">
        <f>0.399634*100</f>
        <v>39.9634</v>
      </c>
      <c r="E15" s="36">
        <f>0.0131865*100</f>
        <v>1.3186500000000001</v>
      </c>
      <c r="F15" s="4"/>
      <c r="G15" s="14">
        <f t="shared" si="0"/>
        <v>-0.68255870565112531</v>
      </c>
      <c r="H15" s="15">
        <f t="shared" si="1"/>
        <v>2.1292611541330482</v>
      </c>
      <c r="I15" s="15">
        <f t="shared" si="2"/>
        <v>-0.32056129156643376</v>
      </c>
      <c r="J15" s="15">
        <f t="shared" si="3"/>
        <v>0.37427143775501803</v>
      </c>
      <c r="K15" s="16" t="str">
        <f t="shared" si="4"/>
        <v>No significativa</v>
      </c>
      <c r="N15" s="13" t="s">
        <v>12</v>
      </c>
      <c r="O15" s="38">
        <v>43.39211412720428</v>
      </c>
      <c r="P15" s="36">
        <v>1.31897</v>
      </c>
      <c r="Q15" s="38">
        <f>0.399634*100</f>
        <v>39.9634</v>
      </c>
      <c r="R15" s="36">
        <f>0.0131865*100</f>
        <v>1.3186500000000001</v>
      </c>
      <c r="S15" s="4"/>
      <c r="T15" s="14">
        <f t="shared" si="5"/>
        <v>-3.4287141272042803</v>
      </c>
      <c r="U15" s="15">
        <f t="shared" si="6"/>
        <v>1.8650790019192216</v>
      </c>
      <c r="V15" s="15">
        <f t="shared" si="7"/>
        <v>-1.8383747410570983</v>
      </c>
      <c r="W15" s="15">
        <f t="shared" si="8"/>
        <v>3.3003602252611335E-2</v>
      </c>
      <c r="X15" s="16" t="str">
        <f t="shared" si="9"/>
        <v>No significativa</v>
      </c>
    </row>
    <row r="16" spans="1:24" x14ac:dyDescent="0.25">
      <c r="A16" s="13" t="s">
        <v>13</v>
      </c>
      <c r="B16" s="38">
        <v>9.4856104660979739</v>
      </c>
      <c r="C16" s="36">
        <f xml:space="preserve"> 0.0120736*100</f>
        <v>1.20736</v>
      </c>
      <c r="D16" s="38">
        <f>0.0379368*100</f>
        <v>3.7936800000000002</v>
      </c>
      <c r="E16" s="36">
        <f>0.0041586*100</f>
        <v>0.41586000000000001</v>
      </c>
      <c r="F16" s="4"/>
      <c r="G16" s="14">
        <f t="shared" si="0"/>
        <v>-5.6919304660979737</v>
      </c>
      <c r="H16" s="15">
        <f t="shared" si="1"/>
        <v>1.2769720863041603</v>
      </c>
      <c r="I16" s="15">
        <f t="shared" si="2"/>
        <v>-4.4573648297760995</v>
      </c>
      <c r="J16" s="15">
        <f t="shared" si="3"/>
        <v>4.1486661677291568E-6</v>
      </c>
      <c r="K16" s="16" t="str">
        <f t="shared" si="4"/>
        <v>Significativa</v>
      </c>
      <c r="N16" s="13" t="s">
        <v>13</v>
      </c>
      <c r="O16" s="38">
        <v>3.3692044779076684</v>
      </c>
      <c r="P16" s="36">
        <v>0.44117000000000001</v>
      </c>
      <c r="Q16" s="38">
        <f>0.0379368*100</f>
        <v>3.7936800000000002</v>
      </c>
      <c r="R16" s="36">
        <f>0.0041586*100</f>
        <v>0.41586000000000001</v>
      </c>
      <c r="S16" s="4"/>
      <c r="T16" s="14">
        <f t="shared" si="5"/>
        <v>0.42447552209233175</v>
      </c>
      <c r="U16" s="15">
        <f t="shared" si="6"/>
        <v>0.60627593429064952</v>
      </c>
      <c r="V16" s="15">
        <f t="shared" si="7"/>
        <v>0.70013585907706111</v>
      </c>
      <c r="W16" s="15">
        <f t="shared" si="8"/>
        <v>0.24192123170916369</v>
      </c>
      <c r="X16" s="16" t="str">
        <f t="shared" si="9"/>
        <v>No significativa</v>
      </c>
    </row>
    <row r="17" spans="1:24" x14ac:dyDescent="0.25">
      <c r="A17" s="13" t="s">
        <v>14</v>
      </c>
      <c r="B17" s="38">
        <v>27.768592250386671</v>
      </c>
      <c r="C17" s="36">
        <f xml:space="preserve"> 0.016973 *100</f>
        <v>1.6972999999999998</v>
      </c>
      <c r="D17" s="38">
        <f>0.292213*100</f>
        <v>29.221299999999999</v>
      </c>
      <c r="E17" s="36">
        <f>0.0106914*100</f>
        <v>1.06914</v>
      </c>
      <c r="F17" s="4"/>
      <c r="G17" s="14">
        <f t="shared" si="0"/>
        <v>1.452707749613328</v>
      </c>
      <c r="H17" s="15">
        <f t="shared" si="1"/>
        <v>2.0059630180040706</v>
      </c>
      <c r="I17" s="15">
        <f t="shared" si="2"/>
        <v>0.72419468184352143</v>
      </c>
      <c r="J17" s="15">
        <f t="shared" si="3"/>
        <v>0.23447311153402284</v>
      </c>
      <c r="K17" s="16" t="str">
        <f t="shared" si="4"/>
        <v>No significativa</v>
      </c>
      <c r="N17" s="13" t="s">
        <v>14</v>
      </c>
      <c r="O17" s="38">
        <v>28.7237467802655</v>
      </c>
      <c r="P17" s="36">
        <v>1.1776</v>
      </c>
      <c r="Q17" s="38">
        <f>0.292213*100</f>
        <v>29.221299999999999</v>
      </c>
      <c r="R17" s="36">
        <f>0.0106914*100</f>
        <v>1.06914</v>
      </c>
      <c r="S17" s="4"/>
      <c r="T17" s="14">
        <f t="shared" si="5"/>
        <v>0.49755321973449895</v>
      </c>
      <c r="U17" s="15">
        <f t="shared" si="6"/>
        <v>1.5905351613843688</v>
      </c>
      <c r="V17" s="15">
        <f t="shared" si="7"/>
        <v>0.3128212640715462</v>
      </c>
      <c r="W17" s="15">
        <f t="shared" si="8"/>
        <v>0.37720822960529543</v>
      </c>
      <c r="X17" s="16" t="str">
        <f t="shared" si="9"/>
        <v>No significativa</v>
      </c>
    </row>
    <row r="18" spans="1:24" x14ac:dyDescent="0.25">
      <c r="A18" s="13" t="s">
        <v>15</v>
      </c>
      <c r="B18" s="38">
        <v>6.075686044077024</v>
      </c>
      <c r="C18" s="36">
        <f xml:space="preserve"> 0.0063482*100</f>
        <v>0.63482000000000005</v>
      </c>
      <c r="D18" s="38">
        <f>0.0759623*100</f>
        <v>7.5962299999999994</v>
      </c>
      <c r="E18" s="36">
        <f>0.0060431*100</f>
        <v>0.60431000000000001</v>
      </c>
      <c r="F18" s="4"/>
      <c r="G18" s="14">
        <f t="shared" si="0"/>
        <v>1.5205439559229754</v>
      </c>
      <c r="H18" s="15">
        <f t="shared" si="1"/>
        <v>0.87646278215335527</v>
      </c>
      <c r="I18" s="15">
        <f t="shared" si="2"/>
        <v>1.7348642599371948</v>
      </c>
      <c r="J18" s="15">
        <f t="shared" si="3"/>
        <v>4.1382425448758031E-2</v>
      </c>
      <c r="K18" s="16" t="str">
        <f t="shared" si="4"/>
        <v>No significativa</v>
      </c>
      <c r="N18" s="13" t="s">
        <v>15</v>
      </c>
      <c r="O18" s="38">
        <v>7.7293441648504064</v>
      </c>
      <c r="P18" s="36">
        <v>0.58940000000000003</v>
      </c>
      <c r="Q18" s="38">
        <f>0.0759623*100</f>
        <v>7.5962299999999994</v>
      </c>
      <c r="R18" s="36">
        <f>0.0060431*100</f>
        <v>0.60431000000000001</v>
      </c>
      <c r="S18" s="4"/>
      <c r="T18" s="14">
        <f t="shared" si="5"/>
        <v>-0.13311416485040706</v>
      </c>
      <c r="U18" s="15">
        <f t="shared" si="6"/>
        <v>0.84414627648293283</v>
      </c>
      <c r="V18" s="15">
        <f t="shared" si="7"/>
        <v>-0.15769087486237154</v>
      </c>
      <c r="W18" s="15">
        <f t="shared" si="8"/>
        <v>0.4373501956657519</v>
      </c>
      <c r="X18" s="16" t="str">
        <f t="shared" si="9"/>
        <v>No significativa</v>
      </c>
    </row>
    <row r="19" spans="1:24" x14ac:dyDescent="0.25">
      <c r="A19" s="13" t="s">
        <v>16</v>
      </c>
      <c r="B19" s="38">
        <v>16.024152533787205</v>
      </c>
      <c r="C19" s="36">
        <f xml:space="preserve"> 0.0117016*100</f>
        <v>1.1701599999999999</v>
      </c>
      <c r="D19" s="38">
        <f>0.194254*100</f>
        <v>19.4254</v>
      </c>
      <c r="E19" s="36">
        <f>0.0090033*100</f>
        <v>0.90033000000000007</v>
      </c>
      <c r="F19" s="4"/>
      <c r="G19" s="14">
        <f t="shared" si="0"/>
        <v>3.4012474662127943</v>
      </c>
      <c r="H19" s="15">
        <f t="shared" si="1"/>
        <v>1.4764377855162065</v>
      </c>
      <c r="I19" s="15">
        <f t="shared" si="2"/>
        <v>2.3036849229807657</v>
      </c>
      <c r="J19" s="15">
        <f t="shared" si="3"/>
        <v>1.0620168396655028E-2</v>
      </c>
      <c r="K19" s="16" t="str">
        <f t="shared" si="4"/>
        <v>Significativa</v>
      </c>
      <c r="N19" s="13" t="s">
        <v>16</v>
      </c>
      <c r="O19" s="38">
        <v>16.78559044977214</v>
      </c>
      <c r="P19" s="36">
        <v>0.78559000000000012</v>
      </c>
      <c r="Q19" s="38">
        <f>0.194254*100</f>
        <v>19.4254</v>
      </c>
      <c r="R19" s="36">
        <f>0.0090033*100</f>
        <v>0.90033000000000007</v>
      </c>
      <c r="S19" s="4"/>
      <c r="T19" s="14">
        <f t="shared" si="5"/>
        <v>2.6398095502278593</v>
      </c>
      <c r="U19" s="15">
        <f t="shared" si="6"/>
        <v>1.1948831562123554</v>
      </c>
      <c r="V19" s="15">
        <f t="shared" si="7"/>
        <v>2.2092616642080363</v>
      </c>
      <c r="W19" s="15">
        <f t="shared" si="8"/>
        <v>1.3578223003839041E-2</v>
      </c>
      <c r="X19" s="16" t="str">
        <f t="shared" si="9"/>
        <v>Significativa</v>
      </c>
    </row>
    <row r="20" spans="1:24" x14ac:dyDescent="0.25">
      <c r="A20" s="17" t="s">
        <v>17</v>
      </c>
      <c r="B20" s="38"/>
      <c r="C20" s="36"/>
      <c r="D20" s="38"/>
      <c r="E20" s="36"/>
      <c r="F20" s="4"/>
      <c r="G20" s="14"/>
      <c r="H20" s="15"/>
      <c r="I20" s="15"/>
      <c r="J20" s="15"/>
      <c r="K20" s="16"/>
      <c r="N20" s="17" t="s">
        <v>17</v>
      </c>
      <c r="O20" s="38"/>
      <c r="P20" s="36"/>
      <c r="Q20" s="38"/>
      <c r="R20" s="36"/>
      <c r="S20" s="4"/>
      <c r="T20" s="14"/>
      <c r="U20" s="15"/>
      <c r="V20" s="15"/>
      <c r="W20" s="15"/>
      <c r="X20" s="16"/>
    </row>
    <row r="21" spans="1:24" x14ac:dyDescent="0.25">
      <c r="A21" s="18" t="s">
        <v>18</v>
      </c>
      <c r="B21" s="38">
        <v>77.900161422135767</v>
      </c>
      <c r="C21" s="36">
        <f xml:space="preserve"> 0.0127695 *100</f>
        <v>1.27695</v>
      </c>
      <c r="D21" s="38">
        <f>0.729784*100</f>
        <v>72.978399999999993</v>
      </c>
      <c r="E21" s="36">
        <f>0.0102136*100</f>
        <v>1.02136</v>
      </c>
      <c r="F21" s="4"/>
      <c r="G21" s="14">
        <f>D21-B21</f>
        <v>-4.9217614221357735</v>
      </c>
      <c r="H21" s="15">
        <f>SQRT(E21*E21+C21*C21)</f>
        <v>1.6351689674464838</v>
      </c>
      <c r="I21" s="15">
        <f>G21/H21</f>
        <v>-3.009940575023085</v>
      </c>
      <c r="J21" s="15">
        <f>IF(I21&gt;0,(1-NORMSDIST(I21)),(NORMSDIST(I21)))</f>
        <v>1.3064940378002138E-3</v>
      </c>
      <c r="K21" s="16" t="str">
        <f>IF(J21&lt;0.025,"Significativa","No significativa")</f>
        <v>Significativa</v>
      </c>
      <c r="N21" s="18" t="s">
        <v>18</v>
      </c>
      <c r="O21" s="38">
        <v>75.485065385377453</v>
      </c>
      <c r="P21" s="36">
        <v>0.97097999999999995</v>
      </c>
      <c r="Q21" s="38">
        <f>0.729784*100</f>
        <v>72.978399999999993</v>
      </c>
      <c r="R21" s="36">
        <f>0.0102136*100</f>
        <v>1.02136</v>
      </c>
      <c r="S21" s="4"/>
      <c r="T21" s="14">
        <f>Q21-O21</f>
        <v>-2.5066653853774596</v>
      </c>
      <c r="U21" s="15">
        <f>SQRT(R21*R21+P21*P21)</f>
        <v>1.4092474623003584</v>
      </c>
      <c r="V21" s="15">
        <f>T21/U21</f>
        <v>-1.7787262013484502</v>
      </c>
      <c r="W21" s="15">
        <f>IF(V21&gt;0,(1-NORMSDIST(V21)),(NORMSDIST(V21)))</f>
        <v>3.7642330686301337E-2</v>
      </c>
      <c r="X21" s="16" t="str">
        <f>IF(W21&lt;0.025,"Significativa","No significativa")</f>
        <v>No significativa</v>
      </c>
    </row>
    <row r="22" spans="1:24" x14ac:dyDescent="0.25">
      <c r="A22" s="18" t="s">
        <v>19</v>
      </c>
      <c r="B22" s="38">
        <v>24.959171681559379</v>
      </c>
      <c r="C22" s="36">
        <f xml:space="preserve"> 0.01807*100</f>
        <v>1.8069999999999999</v>
      </c>
      <c r="D22" s="38">
        <f>0.124933*100</f>
        <v>12.4933</v>
      </c>
      <c r="E22" s="36">
        <f>0.0086666*100</f>
        <v>0.86665999999999999</v>
      </c>
      <c r="F22" s="4"/>
      <c r="G22" s="14">
        <f>D22-B22</f>
        <v>-12.46587168155938</v>
      </c>
      <c r="H22" s="15">
        <f>SQRT(E22*E22+C22*C22)</f>
        <v>2.0040829712364703</v>
      </c>
      <c r="I22" s="15">
        <f>G22/H22</f>
        <v>-6.2202373157575614</v>
      </c>
      <c r="J22" s="15">
        <f>IF(I22&gt;0,(1-NORMSDIST(I22)),(NORMSDIST(I22)))</f>
        <v>2.4820174459281626E-10</v>
      </c>
      <c r="K22" s="16" t="str">
        <f>IF(J22&lt;0.025,"Significativa","No significativa")</f>
        <v>Significativa</v>
      </c>
      <c r="N22" s="18" t="s">
        <v>19</v>
      </c>
      <c r="O22" s="38">
        <v>10.482093322766</v>
      </c>
      <c r="P22" s="36">
        <v>0.65018999999999993</v>
      </c>
      <c r="Q22" s="38">
        <f>0.124933*100</f>
        <v>12.4933</v>
      </c>
      <c r="R22" s="36">
        <f>0.0086666*100</f>
        <v>0.86665999999999999</v>
      </c>
      <c r="S22" s="4"/>
      <c r="T22" s="14">
        <f>Q22-O22</f>
        <v>2.011206677234</v>
      </c>
      <c r="U22" s="15">
        <f>SQRT(R22*R22+P22*P22)</f>
        <v>1.0834420112308734</v>
      </c>
      <c r="V22" s="15">
        <f>T22/U22</f>
        <v>1.8563122496506432</v>
      </c>
      <c r="W22" s="15">
        <f>IF(V22&gt;0,(1-NORMSDIST(V22)),(NORMSDIST(V22)))</f>
        <v>3.1704532038014488E-2</v>
      </c>
      <c r="X22" s="16" t="str">
        <f>IF(W22&lt;0.025,"Significativa","No significativa")</f>
        <v>No significativa</v>
      </c>
    </row>
    <row r="23" spans="1:24" x14ac:dyDescent="0.25">
      <c r="A23" s="19" t="s">
        <v>20</v>
      </c>
      <c r="B23" s="38"/>
      <c r="C23" s="36"/>
      <c r="D23" s="38"/>
      <c r="E23" s="36"/>
      <c r="F23" s="4"/>
      <c r="G23" s="14"/>
      <c r="H23" s="15"/>
      <c r="I23" s="15"/>
      <c r="J23" s="15"/>
      <c r="K23" s="16"/>
      <c r="N23" s="19" t="s">
        <v>20</v>
      </c>
      <c r="O23" s="38"/>
      <c r="P23" s="36"/>
      <c r="Q23" s="38"/>
      <c r="R23" s="36"/>
      <c r="S23" s="4"/>
      <c r="T23" s="14"/>
      <c r="U23" s="15"/>
      <c r="V23" s="15"/>
      <c r="W23" s="15"/>
      <c r="X23" s="16"/>
    </row>
    <row r="24" spans="1:24" x14ac:dyDescent="0.25">
      <c r="A24" s="20" t="s">
        <v>21</v>
      </c>
      <c r="B24" s="38">
        <v>24.533733173937417</v>
      </c>
      <c r="C24" s="36">
        <f xml:space="preserve"> 0.0099954 *100</f>
        <v>0.99953999999999998</v>
      </c>
      <c r="D24" s="38">
        <f>0.124933*100</f>
        <v>12.4933</v>
      </c>
      <c r="E24" s="36">
        <f>0.0078134*100</f>
        <v>0.78134000000000003</v>
      </c>
      <c r="F24" s="4"/>
      <c r="G24" s="14">
        <f t="shared" ref="G24:G29" si="10">D24-B24</f>
        <v>-12.040433173937418</v>
      </c>
      <c r="H24" s="15">
        <f t="shared" ref="H24:H29" si="11">SQRT(E24*E24+C24*C24)</f>
        <v>1.2686892476883376</v>
      </c>
      <c r="I24" s="15">
        <f t="shared" ref="I24:I29" si="12">G24/H24</f>
        <v>-9.490451027212643</v>
      </c>
      <c r="J24" s="15">
        <f t="shared" ref="J24:J29" si="13">IF(I24&gt;0,(1-NORMSDIST(I24)),(NORMSDIST(I24)))</f>
        <v>1.1501838522601758E-21</v>
      </c>
      <c r="K24" s="16" t="str">
        <f t="shared" ref="K24:K29" si="14">IF(J24&lt;0.025,"Significativa","No significativa")</f>
        <v>Significativa</v>
      </c>
      <c r="N24" s="20" t="s">
        <v>21</v>
      </c>
      <c r="O24" s="38">
        <v>17.752501486031306</v>
      </c>
      <c r="P24" s="36">
        <v>0.64556000000000002</v>
      </c>
      <c r="Q24" s="38">
        <f>0.124933*100</f>
        <v>12.4933</v>
      </c>
      <c r="R24" s="36">
        <f>0.0078134*100</f>
        <v>0.78134000000000003</v>
      </c>
      <c r="S24" s="4"/>
      <c r="T24" s="14">
        <f t="shared" ref="T24:T29" si="15">Q24-O24</f>
        <v>-5.2592014860313068</v>
      </c>
      <c r="U24" s="15">
        <f t="shared" ref="U24:U29" si="16">SQRT(R24*R24+P24*P24)</f>
        <v>1.0135284451854323</v>
      </c>
      <c r="V24" s="15">
        <f t="shared" ref="V24:V29" si="17">T24/U24</f>
        <v>-5.1890023521432571</v>
      </c>
      <c r="W24" s="15">
        <f t="shared" ref="W24:W29" si="18">IF(V24&gt;0,(1-NORMSDIST(V24)),(NORMSDIST(V24)))</f>
        <v>1.0571186320711086E-7</v>
      </c>
      <c r="X24" s="16" t="str">
        <f t="shared" ref="X24:X29" si="19">IF(W24&lt;0.025,"Significativa","No significativa")</f>
        <v>Significativa</v>
      </c>
    </row>
    <row r="25" spans="1:24" x14ac:dyDescent="0.25">
      <c r="A25" s="18" t="s">
        <v>22</v>
      </c>
      <c r="B25" s="38">
        <v>32.055194213117744</v>
      </c>
      <c r="C25" s="36">
        <f>0.0159944 *100</f>
        <v>1.59944</v>
      </c>
      <c r="D25" s="38">
        <f>0.238027*100</f>
        <v>23.802699999999998</v>
      </c>
      <c r="E25" s="36">
        <f>0.0118604*100</f>
        <v>1.18604</v>
      </c>
      <c r="F25" s="4"/>
      <c r="G25" s="14">
        <f t="shared" si="10"/>
        <v>-8.2524942131177461</v>
      </c>
      <c r="H25" s="15">
        <f t="shared" si="11"/>
        <v>1.9912054628289868</v>
      </c>
      <c r="I25" s="15">
        <f t="shared" si="12"/>
        <v>-4.1444714607166109</v>
      </c>
      <c r="J25" s="15">
        <f t="shared" si="13"/>
        <v>1.7029918457591945E-5</v>
      </c>
      <c r="K25" s="16" t="str">
        <f t="shared" si="14"/>
        <v>Significativa</v>
      </c>
      <c r="N25" s="18" t="s">
        <v>22</v>
      </c>
      <c r="O25" s="38">
        <v>11.682558945908461</v>
      </c>
      <c r="P25" s="36">
        <v>0.58733000000000002</v>
      </c>
      <c r="Q25" s="38">
        <f>0.238027*100</f>
        <v>23.802699999999998</v>
      </c>
      <c r="R25" s="36">
        <f>0.0118604*100</f>
        <v>1.18604</v>
      </c>
      <c r="S25" s="4"/>
      <c r="T25" s="14">
        <f t="shared" si="15"/>
        <v>12.120141054091537</v>
      </c>
      <c r="U25" s="15">
        <f t="shared" si="16"/>
        <v>1.3234981717025529</v>
      </c>
      <c r="V25" s="15">
        <f t="shared" si="17"/>
        <v>9.1576560612094706</v>
      </c>
      <c r="W25" s="15">
        <f t="shared" si="18"/>
        <v>0</v>
      </c>
      <c r="X25" s="16" t="str">
        <f t="shared" si="19"/>
        <v>Significativa</v>
      </c>
    </row>
    <row r="26" spans="1:24" x14ac:dyDescent="0.25">
      <c r="A26" s="18" t="s">
        <v>23</v>
      </c>
      <c r="B26" s="38">
        <v>67.842751875941346</v>
      </c>
      <c r="C26" s="36">
        <f xml:space="preserve"> 0.0134695 *100</f>
        <v>1.3469500000000001</v>
      </c>
      <c r="D26" s="38">
        <f>0.611095*100</f>
        <v>61.109500000000004</v>
      </c>
      <c r="E26" s="36">
        <f>0.0133978*100</f>
        <v>1.33978</v>
      </c>
      <c r="F26" s="4"/>
      <c r="G26" s="14">
        <f t="shared" si="10"/>
        <v>-6.7332518759413418</v>
      </c>
      <c r="H26" s="15">
        <f t="shared" si="11"/>
        <v>1.8998117672285326</v>
      </c>
      <c r="I26" s="15">
        <f t="shared" si="12"/>
        <v>-3.5441678970985042</v>
      </c>
      <c r="J26" s="15">
        <f t="shared" si="13"/>
        <v>1.9692717332727195E-4</v>
      </c>
      <c r="K26" s="16" t="str">
        <f t="shared" si="14"/>
        <v>Significativa</v>
      </c>
      <c r="N26" s="18" t="s">
        <v>23</v>
      </c>
      <c r="O26" s="38">
        <v>62.639748860709332</v>
      </c>
      <c r="P26" s="36">
        <v>1.28216</v>
      </c>
      <c r="Q26" s="38">
        <f>0.611095*100</f>
        <v>61.109500000000004</v>
      </c>
      <c r="R26" s="36">
        <f>0.0133978*100</f>
        <v>1.33978</v>
      </c>
      <c r="S26" s="4"/>
      <c r="T26" s="14">
        <f t="shared" si="15"/>
        <v>-1.5302488607093281</v>
      </c>
      <c r="U26" s="15">
        <f t="shared" si="16"/>
        <v>1.8544391912381488</v>
      </c>
      <c r="V26" s="15">
        <f t="shared" si="17"/>
        <v>-0.82518147154107035</v>
      </c>
      <c r="W26" s="15">
        <f t="shared" si="18"/>
        <v>0.20463428550257801</v>
      </c>
      <c r="X26" s="16" t="str">
        <f t="shared" si="19"/>
        <v>No significativa</v>
      </c>
    </row>
    <row r="27" spans="1:24" x14ac:dyDescent="0.25">
      <c r="A27" s="18" t="s">
        <v>24</v>
      </c>
      <c r="B27" s="38">
        <v>9.5505845642615448</v>
      </c>
      <c r="C27" s="36">
        <f xml:space="preserve"> 0.01292   *100</f>
        <v>1.2919999999999998</v>
      </c>
      <c r="D27" s="38">
        <f>0.0338983*100</f>
        <v>3.3898299999999999</v>
      </c>
      <c r="E27" s="36">
        <f>0.0049883*100</f>
        <v>0.49883</v>
      </c>
      <c r="F27" s="4"/>
      <c r="G27" s="14">
        <f t="shared" si="10"/>
        <v>-6.1607545642615449</v>
      </c>
      <c r="H27" s="15">
        <f t="shared" si="11"/>
        <v>1.3849532009782854</v>
      </c>
      <c r="I27" s="15">
        <f t="shared" si="12"/>
        <v>-4.4483485506295741</v>
      </c>
      <c r="J27" s="15">
        <f t="shared" si="13"/>
        <v>4.3266515070959891E-6</v>
      </c>
      <c r="K27" s="16" t="str">
        <f t="shared" si="14"/>
        <v>Significativa</v>
      </c>
      <c r="N27" s="18" t="s">
        <v>24</v>
      </c>
      <c r="O27" s="38">
        <v>5.4183178125619182</v>
      </c>
      <c r="P27" s="36">
        <v>0.72861999999999993</v>
      </c>
      <c r="Q27" s="38">
        <f>0.0338983*100</f>
        <v>3.3898299999999999</v>
      </c>
      <c r="R27" s="36">
        <f>0.0049883*100</f>
        <v>0.49883</v>
      </c>
      <c r="S27" s="4"/>
      <c r="T27" s="14">
        <f t="shared" si="15"/>
        <v>-2.0284878125619183</v>
      </c>
      <c r="U27" s="15">
        <f t="shared" si="16"/>
        <v>0.88301668914013165</v>
      </c>
      <c r="V27" s="15">
        <f t="shared" si="17"/>
        <v>-2.2972247722036028</v>
      </c>
      <c r="W27" s="15">
        <f t="shared" si="18"/>
        <v>1.0802975334956031E-2</v>
      </c>
      <c r="X27" s="16" t="str">
        <f t="shared" si="19"/>
        <v>Significativa</v>
      </c>
    </row>
    <row r="28" spans="1:24" x14ac:dyDescent="0.25">
      <c r="A28" s="18" t="s">
        <v>25</v>
      </c>
      <c r="B28" s="38">
        <v>14.589184041496972</v>
      </c>
      <c r="C28" s="36">
        <f xml:space="preserve"> 0.0238913  *100</f>
        <v>2.3891300000000002</v>
      </c>
      <c r="D28" s="38">
        <f>0.0733465*100</f>
        <v>7.3346499999999999</v>
      </c>
      <c r="E28" s="36">
        <f>0.0112838*100</f>
        <v>1.1283799999999999</v>
      </c>
      <c r="F28" s="4"/>
      <c r="G28" s="14">
        <f t="shared" si="10"/>
        <v>-7.2545340414969726</v>
      </c>
      <c r="H28" s="15">
        <f t="shared" si="11"/>
        <v>2.6421929492942033</v>
      </c>
      <c r="I28" s="15">
        <f t="shared" si="12"/>
        <v>-2.7456488533264922</v>
      </c>
      <c r="J28" s="15">
        <f t="shared" si="13"/>
        <v>3.0195682053690007E-3</v>
      </c>
      <c r="K28" s="16" t="str">
        <f t="shared" si="14"/>
        <v>Significativa</v>
      </c>
      <c r="N28" s="18" t="s">
        <v>25</v>
      </c>
      <c r="O28" s="38">
        <v>10.445623637804637</v>
      </c>
      <c r="P28" s="36">
        <v>1.09755</v>
      </c>
      <c r="Q28" s="38">
        <f>0.0733465*100</f>
        <v>7.3346499999999999</v>
      </c>
      <c r="R28" s="36">
        <f>0.0112838*100</f>
        <v>1.1283799999999999</v>
      </c>
      <c r="S28" s="4"/>
      <c r="T28" s="14">
        <f t="shared" si="15"/>
        <v>-3.1109736378046371</v>
      </c>
      <c r="U28" s="15">
        <f t="shared" si="16"/>
        <v>1.5741211601716052</v>
      </c>
      <c r="V28" s="15">
        <f t="shared" si="17"/>
        <v>-1.9763241334393151</v>
      </c>
      <c r="W28" s="15">
        <f t="shared" si="18"/>
        <v>2.405903898799144E-2</v>
      </c>
      <c r="X28" s="16" t="str">
        <f t="shared" si="19"/>
        <v>Significativa</v>
      </c>
    </row>
    <row r="29" spans="1:24" x14ac:dyDescent="0.25">
      <c r="A29" s="18" t="s">
        <v>26</v>
      </c>
      <c r="B29" s="38">
        <v>19.678709163238977</v>
      </c>
      <c r="C29" s="36">
        <f xml:space="preserve"> 0.0161056*100</f>
        <v>1.6105600000000002</v>
      </c>
      <c r="D29" s="38">
        <f>0.164393*100</f>
        <v>16.439300000000003</v>
      </c>
      <c r="E29" s="36">
        <f>0.009651*100</f>
        <v>0.96509999999999996</v>
      </c>
      <c r="F29" s="4"/>
      <c r="G29" s="14">
        <f t="shared" si="10"/>
        <v>-3.2394091632389745</v>
      </c>
      <c r="H29" s="15">
        <f t="shared" si="11"/>
        <v>1.8775839591347174</v>
      </c>
      <c r="I29" s="15">
        <f t="shared" si="12"/>
        <v>-1.7253072212716671</v>
      </c>
      <c r="J29" s="15">
        <f t="shared" si="13"/>
        <v>4.2236060628382983E-2</v>
      </c>
      <c r="K29" s="16" t="str">
        <f t="shared" si="14"/>
        <v>No significativa</v>
      </c>
      <c r="N29" s="18" t="s">
        <v>26</v>
      </c>
      <c r="O29" s="38">
        <v>16.635439369922729</v>
      </c>
      <c r="P29" s="36">
        <v>1.0264499999999999</v>
      </c>
      <c r="Q29" s="38">
        <f>0.164393*100</f>
        <v>16.439300000000003</v>
      </c>
      <c r="R29" s="36">
        <f>0.009651*100</f>
        <v>0.96509999999999996</v>
      </c>
      <c r="S29" s="4"/>
      <c r="T29" s="14">
        <f t="shared" si="15"/>
        <v>-0.19613936992272585</v>
      </c>
      <c r="U29" s="15">
        <f t="shared" si="16"/>
        <v>1.4089065307890369</v>
      </c>
      <c r="V29" s="15">
        <f t="shared" si="17"/>
        <v>-0.13921389789632171</v>
      </c>
      <c r="W29" s="15">
        <f t="shared" si="18"/>
        <v>0.44464056325600104</v>
      </c>
      <c r="X29" s="16" t="str">
        <f t="shared" si="19"/>
        <v>No significativa</v>
      </c>
    </row>
    <row r="30" spans="1:24" x14ac:dyDescent="0.25">
      <c r="A30" s="8" t="s">
        <v>27</v>
      </c>
      <c r="B30" s="38"/>
      <c r="C30" s="36"/>
      <c r="D30" s="38"/>
      <c r="E30" s="36"/>
      <c r="F30" s="4"/>
      <c r="G30" s="14"/>
      <c r="H30" s="15"/>
      <c r="I30" s="15"/>
      <c r="J30" s="15"/>
      <c r="K30" s="16"/>
      <c r="N30" s="8" t="s">
        <v>27</v>
      </c>
      <c r="O30" s="38"/>
      <c r="P30" s="36"/>
      <c r="Q30" s="38"/>
      <c r="R30" s="36"/>
      <c r="S30" s="4"/>
      <c r="T30" s="14"/>
      <c r="U30" s="15"/>
      <c r="V30" s="15"/>
      <c r="W30" s="15"/>
      <c r="X30" s="16"/>
    </row>
    <row r="31" spans="1:24" x14ac:dyDescent="0.25">
      <c r="A31" s="21" t="s">
        <v>28</v>
      </c>
      <c r="B31" s="38">
        <v>22.313267008422319</v>
      </c>
      <c r="C31" s="36">
        <f xml:space="preserve"> 0.0211933 *100</f>
        <v>2.1193300000000002</v>
      </c>
      <c r="D31" s="38">
        <f>0.191659*100</f>
        <v>19.165900000000001</v>
      </c>
      <c r="E31" s="36">
        <f>0.0110428*100</f>
        <v>1.1042799999999999</v>
      </c>
      <c r="F31" s="22"/>
      <c r="G31" s="14">
        <f>D31-B31</f>
        <v>-3.147367008422318</v>
      </c>
      <c r="H31" s="15">
        <f>SQRT(((E31^2)+(C31^2)))</f>
        <v>2.3897686012038908</v>
      </c>
      <c r="I31" s="15">
        <f>(D31-B31)/SQRT(((E31^2)+(C31^2)))</f>
        <v>-1.3170174747616874</v>
      </c>
      <c r="J31" s="15">
        <f>IF(I31&gt;0,(1-NORMSDIST(I31)),(NORMSDIST(I31)))</f>
        <v>9.3916383568394921E-2</v>
      </c>
      <c r="K31" s="16" t="str">
        <f>IF(J31&lt;0.025,"Significativa","No significativa")</f>
        <v>No significativa</v>
      </c>
      <c r="N31" s="21" t="s">
        <v>28</v>
      </c>
      <c r="O31" s="38">
        <v>17.157036358232613</v>
      </c>
      <c r="P31" s="36">
        <v>1.20166</v>
      </c>
      <c r="Q31" s="38">
        <f>0.191659*100</f>
        <v>19.165900000000001</v>
      </c>
      <c r="R31" s="36">
        <f>0.0110428*100</f>
        <v>1.1042799999999999</v>
      </c>
      <c r="S31" s="22"/>
      <c r="T31" s="14">
        <f>Q31-O31</f>
        <v>2.0088636417673875</v>
      </c>
      <c r="U31" s="15">
        <f>SQRT(((R31^2)+(P31^2)))</f>
        <v>1.6319991035536752</v>
      </c>
      <c r="V31" s="15">
        <f>(Q31-O31)/SQRT(((R31^2)+(P31^2)))</f>
        <v>1.230922025259138</v>
      </c>
      <c r="W31" s="15">
        <f>IF(V31&gt;0,(1-NORMSDIST(V31)),(NORMSDIST(V31)))</f>
        <v>0.10917601452052805</v>
      </c>
      <c r="X31" s="16" t="str">
        <f>IF(W31&lt;0.025,"Significativa","No significativa")</f>
        <v>No significativa</v>
      </c>
    </row>
    <row r="32" spans="1:24" ht="15.75" thickBot="1" x14ac:dyDescent="0.3">
      <c r="A32" s="23" t="s">
        <v>29</v>
      </c>
      <c r="B32" s="35">
        <v>56.207255215826123</v>
      </c>
      <c r="C32" s="33">
        <f xml:space="preserve"> 0.0162051 *100</f>
        <v>1.6205099999999999</v>
      </c>
      <c r="D32" s="42">
        <f>0.513533*100</f>
        <v>51.353300000000004</v>
      </c>
      <c r="E32" s="33">
        <f>0.0137258*100</f>
        <v>1.3725799999999999</v>
      </c>
      <c r="F32" s="24"/>
      <c r="G32" s="32">
        <f>D32-B32</f>
        <v>-4.8539552158261188</v>
      </c>
      <c r="H32" s="25">
        <f>SQRT(((E32^2)+(C32^2)))</f>
        <v>2.1236827720966236</v>
      </c>
      <c r="I32" s="25">
        <f>(D32-B32)/SQRT(((E32^2)+(C32^2)))</f>
        <v>-2.2856310177786163</v>
      </c>
      <c r="J32" s="25">
        <f>IF(I32&gt;0,(1-NORMSDIST(I32)),(NORMSDIST(I32)))</f>
        <v>1.11379269853635E-2</v>
      </c>
      <c r="K32" s="26" t="str">
        <f>IF(J32&lt;0.025,"Significativa","No significativa")</f>
        <v>Significativa</v>
      </c>
      <c r="N32" s="23" t="s">
        <v>29</v>
      </c>
      <c r="O32" s="35">
        <v>54.490662769962348</v>
      </c>
      <c r="P32" s="33">
        <v>1.41096</v>
      </c>
      <c r="Q32" s="42">
        <f>0.513533*100</f>
        <v>51.353300000000004</v>
      </c>
      <c r="R32" s="33">
        <f>0.0137258*100</f>
        <v>1.3725799999999999</v>
      </c>
      <c r="S32" s="24"/>
      <c r="T32" s="32">
        <f>Q32-O32</f>
        <v>-3.1373627699623441</v>
      </c>
      <c r="U32" s="25">
        <f>SQRT(((R32^2)+(P32^2)))</f>
        <v>1.9684470980953488</v>
      </c>
      <c r="V32" s="25">
        <f>(Q32-O32)/SQRT(((R32^2)+(P32^2)))</f>
        <v>-1.5938263075487409</v>
      </c>
      <c r="W32" s="25">
        <f>IF(V32&gt;0,(1-NORMSDIST(V32)),(NORMSDIST(V32)))</f>
        <v>5.5487471752463026E-2</v>
      </c>
      <c r="X32" s="26" t="str">
        <f>IF(W32&lt;0.025,"Significativa","No significativa")</f>
        <v>No significativa</v>
      </c>
    </row>
    <row r="33" spans="1:24" ht="15.75" thickTop="1" x14ac:dyDescent="0.25">
      <c r="A33" s="27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28"/>
      <c r="N33" s="27" t="s">
        <v>30</v>
      </c>
      <c r="O33" s="4"/>
      <c r="P33" s="4"/>
      <c r="Q33" s="4"/>
      <c r="R33" s="4"/>
      <c r="S33" s="4"/>
      <c r="T33" s="4"/>
      <c r="U33" s="4"/>
      <c r="V33" s="4"/>
      <c r="W33" s="4"/>
      <c r="X33" s="28"/>
    </row>
    <row r="34" spans="1:24" x14ac:dyDescent="0.25">
      <c r="A34" s="29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28"/>
      <c r="N34" s="29" t="s">
        <v>31</v>
      </c>
      <c r="O34" s="4"/>
      <c r="P34" s="4"/>
      <c r="Q34" s="4"/>
      <c r="R34" s="4"/>
      <c r="S34" s="4"/>
      <c r="T34" s="4"/>
      <c r="U34" s="4"/>
      <c r="V34" s="4"/>
      <c r="W34" s="4"/>
      <c r="X34" s="28"/>
    </row>
  </sheetData>
  <mergeCells count="19">
    <mergeCell ref="B4:R4"/>
    <mergeCell ref="A9:K9"/>
    <mergeCell ref="N9:X9"/>
    <mergeCell ref="A10:K10"/>
    <mergeCell ref="N10:X10"/>
    <mergeCell ref="A11:A12"/>
    <mergeCell ref="B11:C11"/>
    <mergeCell ref="D11:E11"/>
    <mergeCell ref="I11:I12"/>
    <mergeCell ref="J11:J12"/>
    <mergeCell ref="X11:X12"/>
    <mergeCell ref="G12:H12"/>
    <mergeCell ref="T12:U12"/>
    <mergeCell ref="K11:K12"/>
    <mergeCell ref="N11:N12"/>
    <mergeCell ref="O11:P11"/>
    <mergeCell ref="Q11:R11"/>
    <mergeCell ref="V11:V12"/>
    <mergeCell ref="W11:W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8C27-B3A6-4DAE-BE2A-7EFA2A44BE64}">
  <dimension ref="A4:Y34"/>
  <sheetViews>
    <sheetView zoomScaleNormal="100" workbookViewId="0">
      <selection activeCell="H38" sqref="H38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91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90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66">
        <v>45.857840000000003</v>
      </c>
      <c r="E14" s="66">
        <v>1.8039000000000001</v>
      </c>
      <c r="F14" s="66">
        <v>48.537179999999999</v>
      </c>
      <c r="G14" s="66">
        <v>1.8322399999999999</v>
      </c>
      <c r="H14" s="46"/>
      <c r="I14" s="46">
        <f>F14-D14</f>
        <v>2.6793399999999963</v>
      </c>
      <c r="J14" s="15">
        <f>SQRT(G14*G14+E14*E14)</f>
        <v>2.5712173435164907</v>
      </c>
      <c r="K14" s="15">
        <f>I14/J14</f>
        <v>1.0420511540014867</v>
      </c>
      <c r="L14" s="15">
        <f>IF(K14&gt;0,(1-NORMSDIST(K14)),(NORMSDIST(K14)))</f>
        <v>0.14869398158289671</v>
      </c>
      <c r="M14" s="16" t="str">
        <f>IF(L14&lt;0.025,"Significativa","No significativa")</f>
        <v>No significativa</v>
      </c>
      <c r="O14" s="13" t="s">
        <v>11</v>
      </c>
      <c r="P14" s="66">
        <v>46.249369999999999</v>
      </c>
      <c r="Q14" s="66">
        <v>1.6646399999999999</v>
      </c>
      <c r="R14" s="46">
        <v>48.537179999999999</v>
      </c>
      <c r="S14" s="46">
        <v>1.8322399999999999</v>
      </c>
      <c r="T14" s="4"/>
      <c r="U14" s="14">
        <f>R14-P14</f>
        <v>2.2878100000000003</v>
      </c>
      <c r="V14" s="15">
        <f>SQRT(S14*S14+Q14*Q14)</f>
        <v>2.4755059578195322</v>
      </c>
      <c r="W14" s="15">
        <f>U14/V14</f>
        <v>0.9241787493071284</v>
      </c>
      <c r="X14" s="15">
        <f>IF(W14&gt;0,(1-NORMSDIST(W14)),(NORMSDIST(W14)))</f>
        <v>0.1776966289264974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66">
        <v>33.909129999999998</v>
      </c>
      <c r="E15" s="66">
        <v>1.4550099999999999</v>
      </c>
      <c r="F15" s="66">
        <v>36.673220000000001</v>
      </c>
      <c r="G15" s="66">
        <v>1.3379999999999999</v>
      </c>
      <c r="H15" s="46"/>
      <c r="I15" s="46">
        <f>F15-D15</f>
        <v>2.764090000000003</v>
      </c>
      <c r="J15" s="15">
        <f>SQRT(G15*G15+E15*E15)</f>
        <v>1.9766886705042854</v>
      </c>
      <c r="K15" s="15">
        <f>I15/J15</f>
        <v>1.398343624489353</v>
      </c>
      <c r="L15" s="15">
        <f>IF(K15&gt;0,(1-NORMSDIST(K15)),(NORMSDIST(K15)))</f>
        <v>8.1004951802398861E-2</v>
      </c>
      <c r="M15" s="16" t="str">
        <f>IF(L15&lt;0.025,"Significativa","No significativa")</f>
        <v>No significativa</v>
      </c>
      <c r="O15" s="13" t="s">
        <v>12</v>
      </c>
      <c r="P15" s="66">
        <v>36.478490000000001</v>
      </c>
      <c r="Q15" s="66">
        <v>1.33586</v>
      </c>
      <c r="R15" s="46">
        <v>36.673220000000001</v>
      </c>
      <c r="S15" s="46">
        <v>1.3379999999999999</v>
      </c>
      <c r="T15" s="4"/>
      <c r="U15" s="14">
        <f>R15-P15</f>
        <v>0.19472999999999985</v>
      </c>
      <c r="V15" s="15">
        <f>SQRT(S15*S15+Q15*Q15)</f>
        <v>1.8907051434848321</v>
      </c>
      <c r="W15" s="15">
        <f>U15/V15</f>
        <v>0.10299332006950879</v>
      </c>
      <c r="X15" s="15">
        <f>IF(W15&gt;0,(1-NORMSDIST(W15)),(NORMSDIST(W15)))</f>
        <v>0.45898413628625034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66">
        <v>11.948699999999999</v>
      </c>
      <c r="E16" s="66">
        <v>1.5181800000000001</v>
      </c>
      <c r="F16" s="66">
        <v>11.863960000000001</v>
      </c>
      <c r="G16" s="66">
        <v>1.38567</v>
      </c>
      <c r="H16" s="46"/>
      <c r="I16" s="46">
        <f>F16-D16</f>
        <v>-8.4739999999998261E-2</v>
      </c>
      <c r="J16" s="15">
        <f>SQRT(G16*G16+E16*E16)</f>
        <v>2.0554687692348916</v>
      </c>
      <c r="K16" s="15">
        <f>I16/J16</f>
        <v>-4.122660546749201E-2</v>
      </c>
      <c r="L16" s="15">
        <f>IF(K16&gt;0,(1-NORMSDIST(K16)),(NORMSDIST(K16)))</f>
        <v>0.48355762180156159</v>
      </c>
      <c r="M16" s="16" t="str">
        <f>IF(L16&lt;0.025,"Significativa","No significativa")</f>
        <v>No significativa</v>
      </c>
      <c r="O16" s="13" t="s">
        <v>13</v>
      </c>
      <c r="P16" s="66">
        <v>9.77088</v>
      </c>
      <c r="Q16" s="66">
        <v>1.3139000000000001</v>
      </c>
      <c r="R16" s="46">
        <v>11.863960000000001</v>
      </c>
      <c r="S16" s="46">
        <v>1.38567</v>
      </c>
      <c r="T16" s="4"/>
      <c r="U16" s="14">
        <f>R16-P16</f>
        <v>2.0930800000000005</v>
      </c>
      <c r="V16" s="15">
        <f>SQRT(S16*S16+Q16*Q16)</f>
        <v>1.9095587340796827</v>
      </c>
      <c r="W16" s="15">
        <f>U16/V16</f>
        <v>1.0961066358656764</v>
      </c>
      <c r="X16" s="15">
        <f>IF(W16&gt;0,(1-NORMSDIST(W16)),(NORMSDIST(W16)))</f>
        <v>0.13651605549078361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66">
        <v>29.45918</v>
      </c>
      <c r="E17" s="66">
        <v>1.5387500000000001</v>
      </c>
      <c r="F17" s="66">
        <v>25.163869999999999</v>
      </c>
      <c r="G17" s="66">
        <v>1.4253800000000001</v>
      </c>
      <c r="H17" s="46"/>
      <c r="I17" s="46">
        <f>F17-D17</f>
        <v>-4.2953100000000006</v>
      </c>
      <c r="J17" s="15">
        <f>SQRT(G17*G17+E17*E17)</f>
        <v>2.0974889050719674</v>
      </c>
      <c r="K17" s="15">
        <f>I17/J17</f>
        <v>-2.0478344317404735</v>
      </c>
      <c r="L17" s="15">
        <f>IF(K17&gt;0,(1-NORMSDIST(K17)),(NORMSDIST(K17)))</f>
        <v>2.0288112656775541E-2</v>
      </c>
      <c r="M17" s="16" t="str">
        <f>IF(L17&lt;0.025,"Significativa","No significativa")</f>
        <v>Significativa</v>
      </c>
      <c r="O17" s="13" t="s">
        <v>14</v>
      </c>
      <c r="P17" s="66">
        <v>31.83689</v>
      </c>
      <c r="Q17" s="66">
        <v>1.2854300000000001</v>
      </c>
      <c r="R17" s="46">
        <v>25.163869999999999</v>
      </c>
      <c r="S17" s="46">
        <v>1.4253800000000001</v>
      </c>
      <c r="T17" s="4"/>
      <c r="U17" s="14">
        <f>R17-P17</f>
        <v>-6.6730200000000011</v>
      </c>
      <c r="V17" s="15">
        <f>SQRT(S17*S17+Q17*Q17)</f>
        <v>1.9193849091049977</v>
      </c>
      <c r="W17" s="15">
        <f>U17/V17</f>
        <v>-3.4766450274487188</v>
      </c>
      <c r="X17" s="15">
        <f>IF(W17&gt;0,(1-NORMSDIST(W17)),(NORMSDIST(W17)))</f>
        <v>2.5386477402421025E-4</v>
      </c>
      <c r="Y17" s="16" t="str">
        <f>IF(X17&lt;0.025,"Significativa","No significativa")</f>
        <v>Significativa</v>
      </c>
    </row>
    <row r="18" spans="3:25" ht="15" customHeight="1" x14ac:dyDescent="0.25">
      <c r="C18" s="13" t="s">
        <v>15</v>
      </c>
      <c r="D18" s="66">
        <v>4.6361800000000004</v>
      </c>
      <c r="E18" s="66">
        <v>0.49925000000000003</v>
      </c>
      <c r="F18" s="66">
        <v>6.30816</v>
      </c>
      <c r="G18" s="66">
        <v>0.50955000000000006</v>
      </c>
      <c r="H18" s="46"/>
      <c r="I18" s="46">
        <f>F18-D18</f>
        <v>1.6719799999999996</v>
      </c>
      <c r="J18" s="15">
        <f>SQRT(G18*G18+E18*E18)</f>
        <v>0.71336650117593836</v>
      </c>
      <c r="K18" s="15">
        <f>I18/J18</f>
        <v>2.3437882171981008</v>
      </c>
      <c r="L18" s="15">
        <f>IF(K18&gt;0,(1-NORMSDIST(K18)),(NORMSDIST(K18)))</f>
        <v>9.5445035697498959E-3</v>
      </c>
      <c r="M18" s="16" t="str">
        <f>IF(L18&lt;0.025,"Significativa","No significativa")</f>
        <v>Significativa</v>
      </c>
      <c r="O18" s="13" t="s">
        <v>15</v>
      </c>
      <c r="P18" s="66">
        <v>4.5948700000000002</v>
      </c>
      <c r="Q18" s="66">
        <v>0.47406999999999994</v>
      </c>
      <c r="R18" s="46">
        <v>6.30816</v>
      </c>
      <c r="S18" s="46">
        <v>0.50955000000000006</v>
      </c>
      <c r="T18" s="4"/>
      <c r="U18" s="14">
        <f>R18-P18</f>
        <v>1.7132899999999998</v>
      </c>
      <c r="V18" s="15">
        <f>SQRT(S18*S18+Q18*Q18)</f>
        <v>0.69597670032839465</v>
      </c>
      <c r="W18" s="15">
        <f>U18/V18</f>
        <v>2.4617059726160209</v>
      </c>
      <c r="X18" s="15">
        <f>IF(W18&gt;0,(1-NORMSDIST(W18)),(NORMSDIST(W18)))</f>
        <v>6.9138987197878699E-3</v>
      </c>
      <c r="Y18" s="16" t="str">
        <f>IF(X18&lt;0.025,"Significativa","No significativa")</f>
        <v>Significativa</v>
      </c>
    </row>
    <row r="19" spans="3:25" ht="15" customHeight="1" x14ac:dyDescent="0.25">
      <c r="C19" s="13" t="s">
        <v>16</v>
      </c>
      <c r="D19" s="66">
        <v>20.046810000000001</v>
      </c>
      <c r="E19" s="66">
        <v>1.07836</v>
      </c>
      <c r="F19" s="66">
        <v>19.990780000000001</v>
      </c>
      <c r="G19" s="66">
        <v>0.97272999999999998</v>
      </c>
      <c r="H19" s="46"/>
      <c r="I19" s="46">
        <f>F19-D19</f>
        <v>-5.6029999999999802E-2</v>
      </c>
      <c r="J19" s="15">
        <f>SQRT(G19*G19+E19*E19)</f>
        <v>1.4522616646114432</v>
      </c>
      <c r="K19" s="15">
        <f>I19/J19</f>
        <v>-3.8581201559837901E-2</v>
      </c>
      <c r="L19" s="15">
        <f>IF(K19&gt;0,(1-NORMSDIST(K19)),(NORMSDIST(K19)))</f>
        <v>0.4846121450574809</v>
      </c>
      <c r="M19" s="16" t="str">
        <f>IF(L19&lt;0.025,"Significativa","No significativa")</f>
        <v>No significativa</v>
      </c>
      <c r="O19" s="13" t="s">
        <v>16</v>
      </c>
      <c r="P19" s="67">
        <v>17.31887</v>
      </c>
      <c r="Q19" s="67">
        <v>0.96894999999999998</v>
      </c>
      <c r="R19" s="46">
        <v>19.990780000000001</v>
      </c>
      <c r="S19" s="46">
        <v>0.97272999999999998</v>
      </c>
      <c r="T19" s="4"/>
      <c r="U19" s="14">
        <f>R19-P19</f>
        <v>2.6719100000000005</v>
      </c>
      <c r="V19" s="15">
        <f>SQRT(S19*S19+Q19*Q19)</f>
        <v>1.3729776966141876</v>
      </c>
      <c r="W19" s="15">
        <f>U19/V19</f>
        <v>1.9460694857527743</v>
      </c>
      <c r="X19" s="15">
        <f>IF(W19&gt;0,(1-NORMSDIST(W19)),(NORMSDIST(W19)))</f>
        <v>2.5823196712366325E-2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I20" s="46">
        <f>F20-D20</f>
        <v>0</v>
      </c>
      <c r="J20" s="15">
        <f>SQRT(G20*G20+E20*E20)</f>
        <v>0</v>
      </c>
      <c r="K20" s="15"/>
      <c r="L20" s="15"/>
      <c r="M20" s="16"/>
      <c r="O20" s="17" t="s">
        <v>17</v>
      </c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66">
        <v>75.317009999999996</v>
      </c>
      <c r="E21" s="66">
        <v>1.19601</v>
      </c>
      <c r="F21" s="66">
        <v>73.701059999999998</v>
      </c>
      <c r="G21" s="66">
        <v>1.0194699999999999</v>
      </c>
      <c r="H21" s="46"/>
      <c r="I21" s="46">
        <f>F21-D21</f>
        <v>-1.615949999999998</v>
      </c>
      <c r="J21" s="15">
        <f>SQRT(G21*G21+E21*E21)</f>
        <v>1.5715466906840534</v>
      </c>
      <c r="K21" s="15">
        <f>I21/J21</f>
        <v>-1.02825452758048</v>
      </c>
      <c r="L21" s="15">
        <f>IF(K21&gt;0,(1-NORMSDIST(K21)),(NORMSDIST(K21)))</f>
        <v>0.15191505747679712</v>
      </c>
      <c r="M21" s="16" t="str">
        <f>IF(L21&lt;0.025,"Significativa","No significativa")</f>
        <v>No significativa</v>
      </c>
      <c r="O21" s="18" t="s">
        <v>18</v>
      </c>
      <c r="P21" s="66">
        <v>78.086250000000007</v>
      </c>
      <c r="Q21" s="66">
        <v>0.99263000000000012</v>
      </c>
      <c r="R21" s="46">
        <v>73.701059999999998</v>
      </c>
      <c r="S21" s="46">
        <v>1.0194699999999999</v>
      </c>
      <c r="T21" s="4"/>
      <c r="U21" s="14">
        <f>R21-P21</f>
        <v>-4.3851900000000086</v>
      </c>
      <c r="V21" s="15">
        <f>SQRT(S21*S21+Q21*Q21)</f>
        <v>1.4228961303622973</v>
      </c>
      <c r="W21" s="15">
        <f>U21/V21</f>
        <v>-3.0818763973189336</v>
      </c>
      <c r="X21" s="15">
        <f>IF(W21&gt;0,(1-NORMSDIST(W21)),(NORMSDIST(W21)))</f>
        <v>1.0285011588303864E-3</v>
      </c>
      <c r="Y21" s="16" t="str">
        <f>IF(X21&lt;0.025,"Significativa","No significativa")</f>
        <v>Significativa</v>
      </c>
    </row>
    <row r="22" spans="3:25" x14ac:dyDescent="0.25">
      <c r="C22" s="18" t="s">
        <v>19</v>
      </c>
      <c r="D22" s="66">
        <v>35.473909999999997</v>
      </c>
      <c r="E22" s="66">
        <v>2.0793200000000001</v>
      </c>
      <c r="F22" s="66">
        <v>27.97559</v>
      </c>
      <c r="G22" s="66">
        <v>1.3603499999999999</v>
      </c>
      <c r="H22" s="46"/>
      <c r="I22" s="46">
        <f>F22-D22</f>
        <v>-7.4983199999999961</v>
      </c>
      <c r="J22" s="15">
        <f>SQRT(G22*G22+E22*E22)</f>
        <v>2.4847784176662513</v>
      </c>
      <c r="K22" s="15">
        <f>I22/J22</f>
        <v>-3.0177016778190442</v>
      </c>
      <c r="L22" s="15">
        <f>IF(K22&gt;0,(1-NORMSDIST(K22)),(NORMSDIST(K22)))</f>
        <v>1.2734975020587385E-3</v>
      </c>
      <c r="M22" s="16" t="str">
        <f>IF(L22&lt;0.025,"Significativa","No significativa")</f>
        <v>Significativa</v>
      </c>
      <c r="O22" s="18" t="s">
        <v>19</v>
      </c>
      <c r="P22" s="66">
        <v>28.187430000000003</v>
      </c>
      <c r="Q22" s="66">
        <v>1.6186800000000001</v>
      </c>
      <c r="R22" s="46">
        <v>27.97559</v>
      </c>
      <c r="S22" s="46">
        <v>1.3603499999999999</v>
      </c>
      <c r="T22" s="4"/>
      <c r="U22" s="14">
        <f>R22-P22</f>
        <v>-0.21184000000000225</v>
      </c>
      <c r="V22" s="15">
        <f>SQRT(S22*S22+Q22*Q22)</f>
        <v>2.1143975654781673</v>
      </c>
      <c r="W22" s="15">
        <f>U22/V22</f>
        <v>-0.10018929432133308</v>
      </c>
      <c r="X22" s="15">
        <f>IF(W22&gt;0,(1-NORMSDIST(W22)),(NORMSDIST(W22)))</f>
        <v>0.46009702257152607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I23" s="46">
        <f>F23-D23</f>
        <v>0</v>
      </c>
      <c r="J23" s="15">
        <f>SQRT(G23*G23+E23*E23)</f>
        <v>0</v>
      </c>
      <c r="K23" s="15"/>
      <c r="L23" s="15"/>
      <c r="M23" s="16"/>
      <c r="O23" s="19" t="s">
        <v>20</v>
      </c>
      <c r="P23" s="67"/>
      <c r="Q23" s="67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66">
        <v>22.85136</v>
      </c>
      <c r="E24" s="66">
        <v>0.87889000000000006</v>
      </c>
      <c r="F24" s="66">
        <v>16.521620000000002</v>
      </c>
      <c r="G24" s="66">
        <v>0.80064999999999997</v>
      </c>
      <c r="H24" s="46"/>
      <c r="I24" s="46">
        <f>F24-D24</f>
        <v>-6.3297399999999975</v>
      </c>
      <c r="J24" s="15">
        <f>SQRT(G24*G24+E24*E24)</f>
        <v>1.188902037427811</v>
      </c>
      <c r="K24" s="15">
        <f>I24/J24</f>
        <v>-5.3240214927164118</v>
      </c>
      <c r="L24" s="15">
        <f>IF(K24&gt;0,(1-NORMSDIST(K24)),(NORMSDIST(K24)))</f>
        <v>5.0748953135127022E-8</v>
      </c>
      <c r="M24" s="16" t="str">
        <f>IF(L24&lt;0.025,"Significativa","No significativa")</f>
        <v>Significativa</v>
      </c>
      <c r="O24" s="20" t="s">
        <v>21</v>
      </c>
      <c r="P24" s="66">
        <v>17.24736</v>
      </c>
      <c r="Q24" s="66">
        <v>1.5057799999999999</v>
      </c>
      <c r="R24" s="46">
        <v>16.521620000000002</v>
      </c>
      <c r="S24" s="46">
        <v>0.80064999999999997</v>
      </c>
      <c r="T24" s="4"/>
      <c r="U24" s="14">
        <f>R24-P24</f>
        <v>-0.72573999999999828</v>
      </c>
      <c r="V24" s="15">
        <f>SQRT(S24*S24+Q24*Q24)</f>
        <v>1.7054072331557644</v>
      </c>
      <c r="W24" s="15">
        <f>U24/V24</f>
        <v>-0.42555231729435994</v>
      </c>
      <c r="X24" s="15">
        <f>IF(W24&gt;0,(1-NORMSDIST(W24)),(NORMSDIST(W24)))</f>
        <v>0.33521704584312245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66">
        <v>23.284030000000001</v>
      </c>
      <c r="E25" s="66">
        <v>1.3667400000000001</v>
      </c>
      <c r="F25" s="66">
        <v>21.008769999999998</v>
      </c>
      <c r="G25" s="66">
        <v>0.85941000000000001</v>
      </c>
      <c r="H25" s="46"/>
      <c r="I25" s="46">
        <f>F25-D25</f>
        <v>-2.2752600000000029</v>
      </c>
      <c r="J25" s="15">
        <f>SQRT(G25*G25+E25*E25)</f>
        <v>1.6144856071517022</v>
      </c>
      <c r="K25" s="15">
        <f>I25/J25</f>
        <v>-1.4092785899863474</v>
      </c>
      <c r="L25" s="15">
        <f>IF(K25&gt;0,(1-NORMSDIST(K25)),(NORMSDIST(K25)))</f>
        <v>7.9376403527032499E-2</v>
      </c>
      <c r="M25" s="16" t="str">
        <f>IF(L25&lt;0.025,"Significativa","No significativa")</f>
        <v>No significativa</v>
      </c>
      <c r="O25" s="18" t="s">
        <v>22</v>
      </c>
      <c r="P25" s="66">
        <v>11.697520000000001</v>
      </c>
      <c r="Q25" s="66">
        <v>1.5116100000000001</v>
      </c>
      <c r="R25" s="46">
        <v>21.008769999999998</v>
      </c>
      <c r="S25" s="46">
        <v>0.85941000000000001</v>
      </c>
      <c r="T25" s="4"/>
      <c r="U25" s="14">
        <f>R25-P25</f>
        <v>9.3112499999999976</v>
      </c>
      <c r="V25" s="15">
        <f>SQRT(S25*S25+Q25*Q25)</f>
        <v>1.7388359152605517</v>
      </c>
      <c r="W25" s="15">
        <f>U25/V25</f>
        <v>5.3548755913549071</v>
      </c>
      <c r="X25" s="15">
        <f>IF(W25&gt;0,(1-NORMSDIST(W25)),(NORMSDIST(W25)))</f>
        <v>4.2807651867704521E-8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66">
        <v>61.900889999999997</v>
      </c>
      <c r="E26" s="66">
        <v>1.5042599999999999</v>
      </c>
      <c r="F26" s="66">
        <v>58.422180000000004</v>
      </c>
      <c r="G26" s="66">
        <v>1.3767</v>
      </c>
      <c r="H26" s="46"/>
      <c r="I26" s="46">
        <f>F26-D26</f>
        <v>-3.4787099999999924</v>
      </c>
      <c r="J26" s="15">
        <f>SQRT(G26*G26+E26*E26)</f>
        <v>2.0391422308411937</v>
      </c>
      <c r="K26" s="15">
        <f>I26/J26</f>
        <v>-1.7059673167403058</v>
      </c>
      <c r="L26" s="15">
        <f>IF(K26&gt;0,(1-NORMSDIST(K26)),(NORMSDIST(K26)))</f>
        <v>4.4007082462802598E-2</v>
      </c>
      <c r="M26" s="16" t="str">
        <f>IF(L26&lt;0.025,"Significativa","No significativa")</f>
        <v>No significativa</v>
      </c>
      <c r="O26" s="18" t="s">
        <v>23</v>
      </c>
      <c r="P26" s="66">
        <v>61.548450000000003</v>
      </c>
      <c r="Q26" s="66">
        <v>1.3946000000000001</v>
      </c>
      <c r="R26" s="46">
        <v>58.422180000000004</v>
      </c>
      <c r="S26" s="46">
        <v>1.3767</v>
      </c>
      <c r="T26" s="4"/>
      <c r="U26" s="14">
        <f>R26-P26</f>
        <v>-3.1262699999999981</v>
      </c>
      <c r="V26" s="15">
        <f>SQRT(S26*S26+Q26*Q26)</f>
        <v>1.9596458991358618</v>
      </c>
      <c r="W26" s="15">
        <f>U26/V26</f>
        <v>-1.5953239314197418</v>
      </c>
      <c r="X26" s="15">
        <f>IF(W26&gt;0,(1-NORMSDIST(W26)),(NORMSDIST(W26)))</f>
        <v>5.5319908358644143E-2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66">
        <v>25.151309999999999</v>
      </c>
      <c r="E27" s="66">
        <v>1.7260500000000001</v>
      </c>
      <c r="F27" s="66">
        <v>13.512319999999999</v>
      </c>
      <c r="G27" s="66">
        <v>1.2339599999999999</v>
      </c>
      <c r="H27" s="46"/>
      <c r="I27" s="46">
        <f>F27-D27</f>
        <v>-11.63899</v>
      </c>
      <c r="J27" s="15">
        <f>SQRT(G27*G27+E27*E27)</f>
        <v>2.121769517195494</v>
      </c>
      <c r="K27" s="15">
        <f>I27/J27</f>
        <v>-5.4855109877269559</v>
      </c>
      <c r="L27" s="15">
        <f>IF(K27&gt;0,(1-NORMSDIST(K27)),(NORMSDIST(K27)))</f>
        <v>2.0613796427865008E-8</v>
      </c>
      <c r="M27" s="16" t="str">
        <f>IF(L27&lt;0.025,"Significativa","No significativa")</f>
        <v>Significativa</v>
      </c>
      <c r="O27" s="18" t="s">
        <v>24</v>
      </c>
      <c r="P27" s="66">
        <v>16.531079999999999</v>
      </c>
      <c r="Q27" s="66">
        <v>1.2349399999999999</v>
      </c>
      <c r="R27" s="46">
        <v>13.512319999999999</v>
      </c>
      <c r="S27" s="46">
        <v>1.2339599999999999</v>
      </c>
      <c r="T27" s="4"/>
      <c r="U27" s="14">
        <f>R27-P27</f>
        <v>-3.0187600000000003</v>
      </c>
      <c r="V27" s="15">
        <f>SQRT(S27*S27+Q27*Q27)</f>
        <v>1.7457760696034299</v>
      </c>
      <c r="W27" s="15">
        <f>U27/V27</f>
        <v>-1.7291793905078223</v>
      </c>
      <c r="X27" s="15">
        <f>IF(W27&gt;0,(1-NORMSDIST(W27)),(NORMSDIST(W27)))</f>
        <v>4.188849686423108E-2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66">
        <v>37.187540000000006</v>
      </c>
      <c r="E28" s="66">
        <v>2.4437500000000001</v>
      </c>
      <c r="F28" s="66">
        <v>33.410130000000002</v>
      </c>
      <c r="G28" s="66">
        <v>1.6913500000000001</v>
      </c>
      <c r="H28" s="46"/>
      <c r="I28" s="46">
        <f>F28-D28</f>
        <v>-3.7774100000000033</v>
      </c>
      <c r="J28" s="15">
        <f>SQRT(G28*G28+E28*E28)</f>
        <v>2.9719654918925289</v>
      </c>
      <c r="K28" s="15">
        <f>I28/J28</f>
        <v>-1.2710140848891796</v>
      </c>
      <c r="L28" s="15">
        <f>IF(K28&gt;0,(1-NORMSDIST(K28)),(NORMSDIST(K28)))</f>
        <v>0.10186181894818563</v>
      </c>
      <c r="M28" s="16" t="str">
        <f>IF(L28&lt;0.025,"Significativa","No significativa")</f>
        <v>No significativa</v>
      </c>
      <c r="O28" s="18" t="s">
        <v>25</v>
      </c>
      <c r="P28" s="66">
        <v>38.992460000000001</v>
      </c>
      <c r="Q28" s="66">
        <v>1.48041</v>
      </c>
      <c r="R28" s="46">
        <v>33.410130000000002</v>
      </c>
      <c r="S28" s="46">
        <v>1.6913500000000001</v>
      </c>
      <c r="T28" s="4"/>
      <c r="U28" s="14">
        <f>R28-P28</f>
        <v>-5.5823299999999989</v>
      </c>
      <c r="V28" s="15">
        <f>SQRT(S28*S28+Q28*Q28)</f>
        <v>2.2477274280036714</v>
      </c>
      <c r="W28" s="15">
        <f>U28/V28</f>
        <v>-2.4835440144795355</v>
      </c>
      <c r="X28" s="15">
        <f>IF(W28&gt;0,(1-NORMSDIST(W28)),(NORMSDIST(W28)))</f>
        <v>6.5041128857376692E-3</v>
      </c>
      <c r="Y28" s="16" t="str">
        <f>IF(X28&lt;0.025,"Significativa","No significativa")</f>
        <v>Significativa</v>
      </c>
    </row>
    <row r="29" spans="3:25" x14ac:dyDescent="0.25">
      <c r="C29" s="18" t="s">
        <v>26</v>
      </c>
      <c r="D29" s="66">
        <v>20.277159999999999</v>
      </c>
      <c r="E29" s="66">
        <v>1.7420000000000002</v>
      </c>
      <c r="F29" s="66">
        <v>24.524930000000001</v>
      </c>
      <c r="G29" s="66">
        <v>1.2542199999999999</v>
      </c>
      <c r="H29" s="46"/>
      <c r="I29" s="46">
        <f>F29-D29</f>
        <v>4.2477700000000027</v>
      </c>
      <c r="J29" s="15">
        <f>SQRT(G29*G29+E29*E29)</f>
        <v>2.1465394961192774</v>
      </c>
      <c r="K29" s="15">
        <f>I29/J29</f>
        <v>1.9788920761437345</v>
      </c>
      <c r="L29" s="15">
        <f>IF(K29&gt;0,(1-NORMSDIST(K29)),(NORMSDIST(K29)))</f>
        <v>2.3914079296835866E-2</v>
      </c>
      <c r="M29" s="16" t="str">
        <f>IF(L29&lt;0.025,"Significativa","No significativa")</f>
        <v>Significativa</v>
      </c>
      <c r="O29" s="18" t="s">
        <v>26</v>
      </c>
      <c r="P29" s="66">
        <v>27.443109999999997</v>
      </c>
      <c r="Q29" s="66">
        <v>1.4664299999999999</v>
      </c>
      <c r="R29" s="46">
        <v>24.524930000000001</v>
      </c>
      <c r="S29" s="46">
        <v>1.2542199999999999</v>
      </c>
      <c r="T29" s="4"/>
      <c r="U29" s="14">
        <f>R29-P29</f>
        <v>-2.918179999999996</v>
      </c>
      <c r="V29" s="15">
        <f>SQRT(S29*S29+Q29*Q29)</f>
        <v>1.9296333209446814</v>
      </c>
      <c r="W29" s="15">
        <f>U29/V29</f>
        <v>-1.5122976828423322</v>
      </c>
      <c r="X29" s="15">
        <f>IF(W29&gt;0,(1-NORMSDIST(W29)),(NORMSDIST(W29)))</f>
        <v>6.5229075135788725E-2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I30" s="46">
        <f>F30-D30</f>
        <v>0</v>
      </c>
      <c r="J30" s="15">
        <f>SQRT(G30*G30+E30*E30)</f>
        <v>0</v>
      </c>
      <c r="K30" s="15"/>
      <c r="L30" s="15"/>
      <c r="M30" s="16"/>
      <c r="O30" s="8" t="s">
        <v>27</v>
      </c>
      <c r="P30" s="67"/>
      <c r="Q30" s="67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66">
        <v>18.5167</v>
      </c>
      <c r="E31" s="66">
        <v>1.7637300000000002</v>
      </c>
      <c r="F31" s="66">
        <v>23.808430000000001</v>
      </c>
      <c r="G31" s="66">
        <v>1.7688099999999998</v>
      </c>
      <c r="H31" s="46"/>
      <c r="I31" s="46">
        <f>F31-D31</f>
        <v>5.2917300000000012</v>
      </c>
      <c r="J31" s="15">
        <f>SQRT(G31*G31+E31*E31)</f>
        <v>2.4978855716385406</v>
      </c>
      <c r="K31" s="15">
        <f>I31/J31</f>
        <v>2.118483752852129</v>
      </c>
      <c r="L31" s="15">
        <f>IF(K31&gt;0,(1-NORMSDIST(K31)),(NORMSDIST(K31)))</f>
        <v>1.7067059729198641E-2</v>
      </c>
      <c r="M31" s="16" t="str">
        <f>IF(L31&lt;0.025,"Significativa","No significativa")</f>
        <v>Significativa</v>
      </c>
      <c r="O31" s="21" t="s">
        <v>28</v>
      </c>
      <c r="P31" s="66">
        <v>18.502460000000003</v>
      </c>
      <c r="Q31" s="66">
        <v>1.49993</v>
      </c>
      <c r="R31" s="46">
        <v>23.808430000000001</v>
      </c>
      <c r="S31" s="46">
        <v>1.7688099999999998</v>
      </c>
      <c r="T31" s="22"/>
      <c r="U31" s="14">
        <f>R31-P31</f>
        <v>5.3059699999999985</v>
      </c>
      <c r="V31" s="15">
        <f>SQRT(S31*S31+Q31*Q31)</f>
        <v>2.3191547643484252</v>
      </c>
      <c r="W31" s="15">
        <f>U31/V31</f>
        <v>2.287889571479603</v>
      </c>
      <c r="X31" s="15">
        <f>IF(W31&gt;0,(1-NORMSDIST(W31)),(NORMSDIST(W31)))</f>
        <v>1.1071976385473969E-2</v>
      </c>
      <c r="Y31" s="16" t="str">
        <f>IF(X31&lt;0.025,"Significativa","No significativa")</f>
        <v>Significativa</v>
      </c>
    </row>
    <row r="32" spans="3:25" ht="15" customHeight="1" thickBot="1" x14ac:dyDescent="0.3">
      <c r="C32" s="23" t="s">
        <v>29</v>
      </c>
      <c r="D32" s="65">
        <v>50.494019999999992</v>
      </c>
      <c r="E32" s="65">
        <v>1.83771</v>
      </c>
      <c r="F32" s="65">
        <v>54.84534</v>
      </c>
      <c r="G32" s="65">
        <v>1.8307</v>
      </c>
      <c r="H32" s="30"/>
      <c r="I32" s="30">
        <f>F32-D32</f>
        <v>4.3513200000000083</v>
      </c>
      <c r="J32" s="25">
        <f>SQRT(G32*G32+E32*E32)</f>
        <v>2.5939623231843596</v>
      </c>
      <c r="K32" s="25">
        <f>I32/J32</f>
        <v>1.6774800316522365</v>
      </c>
      <c r="L32" s="25">
        <f>IF(K32&gt;0,(1-NORMSDIST(K32)),(NORMSDIST(K32)))</f>
        <v>4.6724325499297059E-2</v>
      </c>
      <c r="M32" s="26" t="str">
        <f>IF(L32&lt;0.025,"Significativa","No significativa")</f>
        <v>No significativa</v>
      </c>
      <c r="O32" s="23" t="s">
        <v>29</v>
      </c>
      <c r="P32" s="65">
        <v>50.844239999999999</v>
      </c>
      <c r="Q32" s="65">
        <v>1.66734</v>
      </c>
      <c r="R32" s="30">
        <v>54.84534</v>
      </c>
      <c r="S32" s="30">
        <v>1.8307</v>
      </c>
      <c r="T32" s="24"/>
      <c r="U32" s="32">
        <f>R32-P32</f>
        <v>4.001100000000001</v>
      </c>
      <c r="V32" s="25">
        <f>SQRT(S32*S32+Q32*Q32)</f>
        <v>2.4761835888318138</v>
      </c>
      <c r="W32" s="25">
        <f>U32/V32</f>
        <v>1.6158333404865166</v>
      </c>
      <c r="X32" s="25">
        <f>IF(W32&gt;0,(1-NORMSDIST(W32)),(NORMSDIST(W32)))</f>
        <v>5.3065175494309225E-2</v>
      </c>
      <c r="Y32" s="26" t="str">
        <f>IF(X32&lt;0.025,"Significativa","No significativa")</f>
        <v>No 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0CE6-7A5C-4F0C-8BAD-E0072C5C2757}">
  <dimension ref="A4:Y34"/>
  <sheetViews>
    <sheetView zoomScaleNormal="100" workbookViewId="0">
      <selection activeCell="F36" sqref="F36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89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88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66">
        <v>32.716440000000006</v>
      </c>
      <c r="E14" s="66">
        <v>1.5397700000000001</v>
      </c>
      <c r="F14" s="66">
        <v>23.580169999999999</v>
      </c>
      <c r="G14" s="66">
        <v>0.82184999999999997</v>
      </c>
      <c r="H14" s="46"/>
      <c r="I14" s="46">
        <f>F14-D14</f>
        <v>-9.1362700000000068</v>
      </c>
      <c r="J14" s="15">
        <f>SQRT(G14*G14+E14*E14)</f>
        <v>1.7453736205752624</v>
      </c>
      <c r="K14" s="15">
        <f>I14/J14</f>
        <v>-5.2345640453697007</v>
      </c>
      <c r="L14" s="15">
        <f>IF(K14&gt;0,(1-NORMSDIST(K14)),(NORMSDIST(K14)))</f>
        <v>8.2687361562165037E-8</v>
      </c>
      <c r="M14" s="16" t="str">
        <f>IF(L14&lt;0.025,"Significativa","No significativa")</f>
        <v>Significativa</v>
      </c>
      <c r="O14" s="13" t="s">
        <v>11</v>
      </c>
      <c r="P14" s="66">
        <v>22.486610000000002</v>
      </c>
      <c r="Q14" s="66">
        <v>0.94549000000000005</v>
      </c>
      <c r="R14" s="66">
        <v>23.580169999999999</v>
      </c>
      <c r="S14" s="66">
        <v>0.82184999999999997</v>
      </c>
      <c r="T14" s="4"/>
      <c r="U14" s="46">
        <f>R14-P14</f>
        <v>1.0935599999999965</v>
      </c>
      <c r="V14" s="15">
        <f>SQRT(S14*S14+Q14*Q14)</f>
        <v>1.2527524745934451</v>
      </c>
      <c r="W14" s="15">
        <f>U14/V14</f>
        <v>0.87292583505363963</v>
      </c>
      <c r="X14" s="15">
        <f>IF(W14&gt;0,(1-NORMSDIST(W14)),(NORMSDIST(W14)))</f>
        <v>0.19135175175897345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66">
        <v>29.624879999999997</v>
      </c>
      <c r="E15" s="66">
        <v>1.4541900000000001</v>
      </c>
      <c r="F15" s="66">
        <v>21.28087</v>
      </c>
      <c r="G15" s="66">
        <v>0.76939000000000002</v>
      </c>
      <c r="H15" s="46"/>
      <c r="I15" s="46">
        <f>F15-D15</f>
        <v>-8.3440099999999973</v>
      </c>
      <c r="J15" s="15">
        <f>SQRT(G15*G15+E15*E15)</f>
        <v>1.6451837369120812</v>
      </c>
      <c r="K15" s="15">
        <f>I15/J15</f>
        <v>-5.0717800162924309</v>
      </c>
      <c r="L15" s="15">
        <f>IF(K15&gt;0,(1-NORMSDIST(K15)),(NORMSDIST(K15)))</f>
        <v>1.970559086422411E-7</v>
      </c>
      <c r="M15" s="16" t="str">
        <f>IF(L15&lt;0.025,"Significativa","No significativa")</f>
        <v>Significativa</v>
      </c>
      <c r="O15" s="13" t="s">
        <v>12</v>
      </c>
      <c r="P15" s="66">
        <v>21.03782</v>
      </c>
      <c r="Q15" s="66">
        <v>0.87278000000000011</v>
      </c>
      <c r="R15" s="66">
        <v>21.28087</v>
      </c>
      <c r="S15" s="66">
        <v>0.76939000000000002</v>
      </c>
      <c r="T15" s="4"/>
      <c r="U15" s="46">
        <f>R15-P15</f>
        <v>0.24305000000000021</v>
      </c>
      <c r="V15" s="15">
        <f>SQRT(S15*S15+Q15*Q15)</f>
        <v>1.1634886765671595</v>
      </c>
      <c r="W15" s="15">
        <f>U15/V15</f>
        <v>0.20889760673658841</v>
      </c>
      <c r="X15" s="15">
        <f>IF(W15&gt;0,(1-NORMSDIST(W15)),(NORMSDIST(W15)))</f>
        <v>0.41726408624739286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66">
        <v>3.0915600000000003</v>
      </c>
      <c r="E16" s="66">
        <v>0.56223999999999996</v>
      </c>
      <c r="F16" s="66">
        <v>2.2993000000000001</v>
      </c>
      <c r="G16" s="66">
        <v>0.28822999999999999</v>
      </c>
      <c r="H16" s="46"/>
      <c r="I16" s="46">
        <f>F16-D16</f>
        <v>-0.79226000000000019</v>
      </c>
      <c r="J16" s="15">
        <f>SQRT(G16*G16+E16*E16)</f>
        <v>0.63181512367147397</v>
      </c>
      <c r="K16" s="15">
        <f>I16/J16</f>
        <v>-1.2539427600216058</v>
      </c>
      <c r="L16" s="15">
        <f>IF(K16&gt;0,(1-NORMSDIST(K16)),(NORMSDIST(K16)))</f>
        <v>0.10493140569291058</v>
      </c>
      <c r="M16" s="16" t="str">
        <f>IF(L16&lt;0.025,"Significativa","No significativa")</f>
        <v>No significativa</v>
      </c>
      <c r="O16" s="13" t="s">
        <v>13</v>
      </c>
      <c r="P16" s="66">
        <v>1.4487999999999999</v>
      </c>
      <c r="Q16" s="66">
        <v>0.20315</v>
      </c>
      <c r="R16" s="66">
        <v>2.2993000000000001</v>
      </c>
      <c r="S16" s="66">
        <v>0.28822999999999999</v>
      </c>
      <c r="T16" s="4"/>
      <c r="U16" s="46">
        <f>R16-P16</f>
        <v>0.85050000000000026</v>
      </c>
      <c r="V16" s="15">
        <f>SQRT(S16*S16+Q16*Q16)</f>
        <v>0.35262792770851259</v>
      </c>
      <c r="W16" s="15">
        <f>U16/V16</f>
        <v>2.4118906449832753</v>
      </c>
      <c r="X16" s="15">
        <f>IF(W16&gt;0,(1-NORMSDIST(W16)),(NORMSDIST(W16)))</f>
        <v>7.9350203365637917E-3</v>
      </c>
      <c r="Y16" s="16" t="str">
        <f>IF(X16&lt;0.025,"Significativa","No significativa")</f>
        <v>Significativa</v>
      </c>
    </row>
    <row r="17" spans="3:25" ht="15" customHeight="1" x14ac:dyDescent="0.25">
      <c r="C17" s="13" t="s">
        <v>14</v>
      </c>
      <c r="D17" s="66">
        <v>25.191380000000002</v>
      </c>
      <c r="E17" s="66">
        <v>1.19577</v>
      </c>
      <c r="F17" s="66">
        <v>26.598420000000001</v>
      </c>
      <c r="G17" s="66">
        <v>0.72021000000000002</v>
      </c>
      <c r="H17" s="46"/>
      <c r="I17" s="46">
        <f>F17-D17</f>
        <v>1.4070399999999985</v>
      </c>
      <c r="J17" s="15">
        <f>SQRT(G17*G17+E17*E17)</f>
        <v>1.3959112926686996</v>
      </c>
      <c r="K17" s="15">
        <f>I17/J17</f>
        <v>1.007972359984296</v>
      </c>
      <c r="L17" s="15">
        <f>IF(K17&gt;0,(1-NORMSDIST(K17)),(NORMSDIST(K17)))</f>
        <v>0.15673386577961956</v>
      </c>
      <c r="M17" s="16" t="str">
        <f>IF(L17&lt;0.025,"Significativa","No significativa")</f>
        <v>No significativa</v>
      </c>
      <c r="O17" s="13" t="s">
        <v>14</v>
      </c>
      <c r="P17" s="66">
        <v>27.352409999999999</v>
      </c>
      <c r="Q17" s="66">
        <v>0.80818000000000001</v>
      </c>
      <c r="R17" s="66">
        <v>26.598420000000001</v>
      </c>
      <c r="S17" s="66">
        <v>0.72021000000000002</v>
      </c>
      <c r="T17" s="4"/>
      <c r="U17" s="46">
        <f>R17-P17</f>
        <v>-0.75398999999999816</v>
      </c>
      <c r="V17" s="15">
        <f>SQRT(S17*S17+Q17*Q17)</f>
        <v>1.0825236055162955</v>
      </c>
      <c r="W17" s="15">
        <f>U17/V17</f>
        <v>-0.69651137042909328</v>
      </c>
      <c r="X17" s="15">
        <f>IF(W17&gt;0,(1-NORMSDIST(W17)),(NORMSDIST(W17)))</f>
        <v>0.24305431950258588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66">
        <v>12.538440000000001</v>
      </c>
      <c r="E18" s="66">
        <v>0.89528000000000008</v>
      </c>
      <c r="F18" s="66">
        <v>11.28247</v>
      </c>
      <c r="G18" s="66">
        <v>0.54227999999999998</v>
      </c>
      <c r="H18" s="46"/>
      <c r="I18" s="46">
        <f>F18-D18</f>
        <v>-1.2559700000000014</v>
      </c>
      <c r="J18" s="15">
        <f>SQRT(G18*G18+E18*E18)</f>
        <v>1.0467062036693966</v>
      </c>
      <c r="K18" s="15">
        <f>I18/J18</f>
        <v>-1.1999260113267667</v>
      </c>
      <c r="L18" s="15">
        <f>IF(K18&gt;0,(1-NORMSDIST(K18)),(NORMSDIST(K18)))</f>
        <v>0.11508403842810504</v>
      </c>
      <c r="M18" s="16" t="str">
        <f>IF(L18&lt;0.025,"Significativa","No significativa")</f>
        <v>No significativa</v>
      </c>
      <c r="O18" s="13" t="s">
        <v>15</v>
      </c>
      <c r="P18" s="66">
        <v>11.257569999999999</v>
      </c>
      <c r="Q18" s="66">
        <v>0.60254000000000008</v>
      </c>
      <c r="R18" s="66">
        <v>11.28247</v>
      </c>
      <c r="S18" s="66">
        <v>0.54227999999999998</v>
      </c>
      <c r="T18" s="4"/>
      <c r="U18" s="46">
        <f>R18-P18</f>
        <v>2.4900000000000588E-2</v>
      </c>
      <c r="V18" s="15">
        <f>SQRT(S18*S18+Q18*Q18)</f>
        <v>0.81063064955625763</v>
      </c>
      <c r="W18" s="15">
        <f>U18/V18</f>
        <v>3.071682524418605E-2</v>
      </c>
      <c r="X18" s="15">
        <f>IF(W18&gt;0,(1-NORMSDIST(W18)),(NORMSDIST(W18)))</f>
        <v>0.48774768644467792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66">
        <v>29.553740000000001</v>
      </c>
      <c r="E19" s="66">
        <v>1.18909</v>
      </c>
      <c r="F19" s="66">
        <v>38.538939999999997</v>
      </c>
      <c r="G19" s="66">
        <v>0.83008999999999999</v>
      </c>
      <c r="H19" s="46"/>
      <c r="I19" s="46">
        <f>F19-D19</f>
        <v>8.9851999999999954</v>
      </c>
      <c r="J19" s="15">
        <f>SQRT(G19*G19+E19*E19)</f>
        <v>1.4501670373443192</v>
      </c>
      <c r="K19" s="15">
        <f>I19/J19</f>
        <v>6.1959758900978263</v>
      </c>
      <c r="L19" s="15">
        <f>IF(K19&gt;0,(1-NORMSDIST(K19)),(NORMSDIST(K19)))</f>
        <v>2.8962499065698921E-10</v>
      </c>
      <c r="M19" s="16" t="str">
        <f>IF(L19&lt;0.025,"Significativa","No significativa")</f>
        <v>Significativa</v>
      </c>
      <c r="O19" s="13" t="s">
        <v>16</v>
      </c>
      <c r="P19" s="66">
        <v>38.903399999999998</v>
      </c>
      <c r="Q19" s="66">
        <v>0.95520999999999989</v>
      </c>
      <c r="R19" s="66">
        <v>38.538939999999997</v>
      </c>
      <c r="S19" s="66">
        <v>0.83008999999999999</v>
      </c>
      <c r="T19" s="4"/>
      <c r="U19" s="46">
        <f>R19-P19</f>
        <v>-0.36446000000000112</v>
      </c>
      <c r="V19" s="15">
        <f>SQRT(S19*S19+Q19*Q19)</f>
        <v>1.2654941928748624</v>
      </c>
      <c r="W19" s="15">
        <f>U19/V19</f>
        <v>-0.28799816075966816</v>
      </c>
      <c r="X19" s="15">
        <f>IF(W19&gt;0,(1-NORMSDIST(W19)),(NORMSDIST(W19)))</f>
        <v>0.38667407327673109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I20" s="46"/>
      <c r="J20" s="15"/>
      <c r="K20" s="15"/>
      <c r="L20" s="15"/>
      <c r="M20" s="16"/>
      <c r="O20" s="17" t="s">
        <v>17</v>
      </c>
      <c r="T20" s="4"/>
      <c r="U20" s="46"/>
      <c r="V20" s="15"/>
      <c r="W20" s="15"/>
      <c r="X20" s="15"/>
      <c r="Y20" s="16"/>
    </row>
    <row r="21" spans="3:25" x14ac:dyDescent="0.25">
      <c r="C21" s="18" t="s">
        <v>18</v>
      </c>
      <c r="D21" s="66">
        <v>57.907820000000001</v>
      </c>
      <c r="E21" s="66">
        <v>1.37188</v>
      </c>
      <c r="F21" s="66">
        <v>50.17859</v>
      </c>
      <c r="G21" s="66">
        <v>0.78478000000000003</v>
      </c>
      <c r="H21" s="46"/>
      <c r="I21" s="46">
        <f>F21-D21</f>
        <v>-7.7292300000000012</v>
      </c>
      <c r="J21" s="15">
        <f>SQRT(G21*G21+E21*E21)</f>
        <v>1.5804854895885632</v>
      </c>
      <c r="K21" s="15">
        <f>I21/J21</f>
        <v>-4.8904150344411565</v>
      </c>
      <c r="L21" s="15">
        <f>IF(K21&gt;0,(1-NORMSDIST(K21)),(NORMSDIST(K21)))</f>
        <v>5.0311793114018896E-7</v>
      </c>
      <c r="M21" s="16" t="str">
        <f>IF(L21&lt;0.025,"Significativa","No significativa")</f>
        <v>Significativa</v>
      </c>
      <c r="O21" s="18" t="s">
        <v>18</v>
      </c>
      <c r="P21" s="66">
        <v>49.839030000000001</v>
      </c>
      <c r="Q21" s="66">
        <v>0.99777000000000005</v>
      </c>
      <c r="R21" s="66">
        <v>50.17859</v>
      </c>
      <c r="S21" s="66">
        <v>0.78478000000000003</v>
      </c>
      <c r="T21" s="4"/>
      <c r="U21" s="46">
        <f>R21-P21</f>
        <v>0.33955999999999875</v>
      </c>
      <c r="V21" s="15">
        <f>SQRT(S21*S21+Q21*Q21)</f>
        <v>1.2694190093503406</v>
      </c>
      <c r="W21" s="15">
        <f>U21/V21</f>
        <v>0.26749244930070626</v>
      </c>
      <c r="X21" s="15">
        <f>IF(W21&gt;0,(1-NORMSDIST(W21)),(NORMSDIST(W21)))</f>
        <v>0.39454501351225202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66">
        <v>11.136559999999999</v>
      </c>
      <c r="E22" s="66">
        <v>0.90456000000000003</v>
      </c>
      <c r="F22" s="66">
        <v>8.3676899999999996</v>
      </c>
      <c r="G22" s="66">
        <v>0.43862000000000001</v>
      </c>
      <c r="H22" s="46"/>
      <c r="I22" s="46">
        <f>F22-D22</f>
        <v>-2.7688699999999997</v>
      </c>
      <c r="J22" s="15">
        <f>SQRT(G22*G22+E22*E22)</f>
        <v>1.0052941350669464</v>
      </c>
      <c r="K22" s="15">
        <f>I22/J22</f>
        <v>-2.7542884250643818</v>
      </c>
      <c r="L22" s="15">
        <f>IF(K22&gt;0,(1-NORMSDIST(K22)),(NORMSDIST(K22)))</f>
        <v>2.9409953403560867E-3</v>
      </c>
      <c r="M22" s="16" t="str">
        <f>IF(L22&lt;0.025,"Significativa","No significativa")</f>
        <v>Significativa</v>
      </c>
      <c r="O22" s="18" t="s">
        <v>19</v>
      </c>
      <c r="P22" s="66">
        <v>7.0592199999999998</v>
      </c>
      <c r="Q22" s="66">
        <v>0.50968999999999998</v>
      </c>
      <c r="R22" s="66">
        <v>8.3676899999999996</v>
      </c>
      <c r="S22" s="66">
        <v>0.43862000000000001</v>
      </c>
      <c r="T22" s="4"/>
      <c r="U22" s="46">
        <f>R22-P22</f>
        <v>1.3084699999999998</v>
      </c>
      <c r="V22" s="15">
        <f>SQRT(S22*S22+Q22*Q22)</f>
        <v>0.6724369119107011</v>
      </c>
      <c r="W22" s="15">
        <f>U22/V22</f>
        <v>1.9458628412917391</v>
      </c>
      <c r="X22" s="15">
        <f>IF(W22&gt;0,(1-NORMSDIST(W22)),(NORMSDIST(W22)))</f>
        <v>2.5835608778241537E-2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I23" s="46"/>
      <c r="J23" s="15"/>
      <c r="K23" s="15"/>
      <c r="L23" s="15"/>
      <c r="M23" s="16"/>
      <c r="O23" s="19" t="s">
        <v>20</v>
      </c>
      <c r="T23" s="4"/>
      <c r="U23" s="46"/>
      <c r="V23" s="15"/>
      <c r="W23" s="15"/>
      <c r="X23" s="15"/>
      <c r="Y23" s="16"/>
    </row>
    <row r="24" spans="3:25" x14ac:dyDescent="0.25">
      <c r="C24" s="20" t="s">
        <v>21</v>
      </c>
      <c r="D24" s="66">
        <v>13.702610000000002</v>
      </c>
      <c r="E24" s="66">
        <v>0.74531000000000003</v>
      </c>
      <c r="F24" s="66">
        <v>11.02535</v>
      </c>
      <c r="G24" s="66">
        <v>0.34114</v>
      </c>
      <c r="H24" s="46"/>
      <c r="I24" s="46">
        <f>F24-D24</f>
        <v>-2.6772600000000022</v>
      </c>
      <c r="J24" s="15">
        <f>SQRT(G24*G24+E24*E24)</f>
        <v>0.8196727979504993</v>
      </c>
      <c r="K24" s="15">
        <f>I24/J24</f>
        <v>-3.2662545429032086</v>
      </c>
      <c r="L24" s="15">
        <f>IF(K24&gt;0,(1-NORMSDIST(K24)),(NORMSDIST(K24)))</f>
        <v>5.4490120443159197E-4</v>
      </c>
      <c r="M24" s="16" t="str">
        <f>IF(L24&lt;0.025,"Significativa","No significativa")</f>
        <v>Significativa</v>
      </c>
      <c r="O24" s="20" t="s">
        <v>21</v>
      </c>
      <c r="P24" s="66">
        <v>11.67052</v>
      </c>
      <c r="Q24" s="66">
        <v>0.41640999999999995</v>
      </c>
      <c r="R24" s="66">
        <v>11.02535</v>
      </c>
      <c r="S24" s="66">
        <v>0.34114</v>
      </c>
      <c r="T24" s="4"/>
      <c r="U24" s="46">
        <f>R24-P24</f>
        <v>-0.64517000000000024</v>
      </c>
      <c r="V24" s="15">
        <f>SQRT(S24*S24+Q24*Q24)</f>
        <v>0.53830640689109388</v>
      </c>
      <c r="W24" s="15">
        <f>U24/V24</f>
        <v>-1.1985181520058077</v>
      </c>
      <c r="X24" s="15">
        <f>IF(W24&gt;0,(1-NORMSDIST(W24)),(NORMSDIST(W24)))</f>
        <v>0.11535768032885416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66">
        <v>23.273109999999999</v>
      </c>
      <c r="E25" s="66">
        <v>1.1395600000000001</v>
      </c>
      <c r="F25" s="66">
        <v>21.63879</v>
      </c>
      <c r="G25" s="66">
        <v>0.63629999999999998</v>
      </c>
      <c r="H25" s="46"/>
      <c r="I25" s="46">
        <f>F25-D25</f>
        <v>-1.6343199999999989</v>
      </c>
      <c r="J25" s="15">
        <f>SQRT(G25*G25+E25*E25)</f>
        <v>1.3051722811950921</v>
      </c>
      <c r="K25" s="15">
        <f>I25/J25</f>
        <v>-1.252187181376178</v>
      </c>
      <c r="L25" s="15">
        <f>IF(K25&gt;0,(1-NORMSDIST(K25)),(NORMSDIST(K25)))</f>
        <v>0.10525083290308167</v>
      </c>
      <c r="M25" s="16" t="str">
        <f>IF(L25&lt;0.025,"Significativa","No significativa")</f>
        <v>No significativa</v>
      </c>
      <c r="O25" s="18" t="s">
        <v>22</v>
      </c>
      <c r="P25" s="66">
        <v>13.201379999999999</v>
      </c>
      <c r="Q25" s="66">
        <v>0.55020999999999998</v>
      </c>
      <c r="R25" s="66">
        <v>21.63879</v>
      </c>
      <c r="S25" s="66">
        <v>0.63629999999999998</v>
      </c>
      <c r="T25" s="4"/>
      <c r="U25" s="46">
        <f>R25-P25</f>
        <v>8.4374100000000016</v>
      </c>
      <c r="V25" s="15">
        <f>SQRT(S25*S25+Q25*Q25)</f>
        <v>0.84119482529316592</v>
      </c>
      <c r="W25" s="15">
        <f>U25/V25</f>
        <v>10.030268549333346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66">
        <v>40.509430000000002</v>
      </c>
      <c r="E26" s="66">
        <v>1.47323</v>
      </c>
      <c r="F26" s="66">
        <v>33.973860000000002</v>
      </c>
      <c r="G26" s="66">
        <v>0.75517999999999996</v>
      </c>
      <c r="H26" s="46"/>
      <c r="I26" s="46">
        <f>F26-D26</f>
        <v>-6.5355699999999999</v>
      </c>
      <c r="J26" s="15">
        <f>SQRT(G26*G26+E26*E26)</f>
        <v>1.6555070115526542</v>
      </c>
      <c r="K26" s="15">
        <f>I26/J26</f>
        <v>-3.9477754877464819</v>
      </c>
      <c r="L26" s="15">
        <f>IF(K26&gt;0,(1-NORMSDIST(K26)),(NORMSDIST(K26)))</f>
        <v>3.9440362398807085E-5</v>
      </c>
      <c r="M26" s="16" t="str">
        <f>IF(L26&lt;0.025,"Significativa","No significativa")</f>
        <v>Significativa</v>
      </c>
      <c r="O26" s="18" t="s">
        <v>23</v>
      </c>
      <c r="P26" s="66">
        <v>30.364540000000002</v>
      </c>
      <c r="Q26" s="66">
        <v>0.95682999999999996</v>
      </c>
      <c r="R26" s="66">
        <v>33.973860000000002</v>
      </c>
      <c r="S26" s="66">
        <v>0.75517999999999996</v>
      </c>
      <c r="T26" s="4"/>
      <c r="U26" s="46">
        <f>R26-P26</f>
        <v>3.6093200000000003</v>
      </c>
      <c r="V26" s="15">
        <f>SQRT(S26*S26+Q26*Q26)</f>
        <v>1.2189423617628521</v>
      </c>
      <c r="W26" s="15">
        <f>U26/V26</f>
        <v>2.9610259789315627</v>
      </c>
      <c r="X26" s="15">
        <f>IF(W26&gt;0,(1-NORMSDIST(W26)),(NORMSDIST(W26)))</f>
        <v>1.5330803737861887E-3</v>
      </c>
      <c r="Y26" s="16" t="str">
        <f>IF(X26&lt;0.025,"Significativa","No significativa")</f>
        <v>Significativa</v>
      </c>
    </row>
    <row r="27" spans="3:25" x14ac:dyDescent="0.25">
      <c r="C27" s="18" t="s">
        <v>24</v>
      </c>
      <c r="D27" s="66">
        <v>5.1763000000000003</v>
      </c>
      <c r="E27" s="66">
        <v>0.87728000000000006</v>
      </c>
      <c r="F27" s="66">
        <v>2.8025799999999998</v>
      </c>
      <c r="G27" s="66">
        <v>0.36142999999999997</v>
      </c>
      <c r="H27" s="46"/>
      <c r="I27" s="46">
        <f>F27-D27</f>
        <v>-2.3737200000000005</v>
      </c>
      <c r="J27" s="15">
        <f>SQRT(G27*G27+E27*E27)</f>
        <v>0.9488160218398507</v>
      </c>
      <c r="K27" s="15">
        <f>I27/J27</f>
        <v>-2.5017705702282687</v>
      </c>
      <c r="L27" s="15">
        <f>IF(K27&gt;0,(1-NORMSDIST(K27)),(NORMSDIST(K27)))</f>
        <v>6.1786988409488113E-3</v>
      </c>
      <c r="M27" s="16" t="str">
        <f>IF(L27&lt;0.025,"Significativa","No significativa")</f>
        <v>Significativa</v>
      </c>
      <c r="O27" s="18" t="s">
        <v>24</v>
      </c>
      <c r="P27" s="66">
        <v>4.4377899999999997</v>
      </c>
      <c r="Q27" s="66">
        <v>0.49310999999999999</v>
      </c>
      <c r="R27" s="66">
        <v>2.8025799999999998</v>
      </c>
      <c r="S27" s="66">
        <v>0.36142999999999997</v>
      </c>
      <c r="T27" s="4"/>
      <c r="U27" s="46">
        <f>R27-P27</f>
        <v>-1.6352099999999998</v>
      </c>
      <c r="V27" s="15">
        <f>SQRT(S27*S27+Q27*Q27)</f>
        <v>0.61138295445653368</v>
      </c>
      <c r="W27" s="15">
        <f>U27/V27</f>
        <v>-2.6746084235429159</v>
      </c>
      <c r="X27" s="15">
        <f>IF(W27&gt;0,(1-NORMSDIST(W27)),(NORMSDIST(W27)))</f>
        <v>3.7408289732359414E-3</v>
      </c>
      <c r="Y27" s="16" t="str">
        <f>IF(X27&lt;0.025,"Significativa","No significativa")</f>
        <v>Significativa</v>
      </c>
    </row>
    <row r="28" spans="3:25" x14ac:dyDescent="0.25">
      <c r="C28" s="18" t="s">
        <v>25</v>
      </c>
      <c r="D28" s="66">
        <v>5.4559000000000006</v>
      </c>
      <c r="E28" s="66">
        <v>0.86402999999999996</v>
      </c>
      <c r="F28" s="66">
        <v>3.2008300000000003</v>
      </c>
      <c r="G28" s="66">
        <v>0.45455000000000001</v>
      </c>
      <c r="H28" s="46"/>
      <c r="I28" s="46">
        <f>F28-D28</f>
        <v>-2.2550700000000004</v>
      </c>
      <c r="J28" s="15">
        <f>SQRT(G28*G28+E28*E28)</f>
        <v>0.97630094919548238</v>
      </c>
      <c r="K28" s="15">
        <f>I28/J28</f>
        <v>-2.3098103119312579</v>
      </c>
      <c r="L28" s="15">
        <f>IF(K28&gt;0,(1-NORMSDIST(K28)),(NORMSDIST(K28)))</f>
        <v>1.0449329075509857E-2</v>
      </c>
      <c r="M28" s="16" t="str">
        <f>IF(L28&lt;0.025,"Significativa","No significativa")</f>
        <v>Significativa</v>
      </c>
      <c r="O28" s="18" t="s">
        <v>25</v>
      </c>
      <c r="P28" s="66">
        <v>3.88123</v>
      </c>
      <c r="Q28" s="66">
        <v>0.49238999999999999</v>
      </c>
      <c r="R28" s="66">
        <v>3.2008300000000003</v>
      </c>
      <c r="S28" s="66">
        <v>0.45455000000000001</v>
      </c>
      <c r="T28" s="4"/>
      <c r="U28" s="46">
        <f>R28-P28</f>
        <v>-0.68039999999999967</v>
      </c>
      <c r="V28" s="15">
        <f>SQRT(S28*S28+Q28*Q28)</f>
        <v>0.67012208932402761</v>
      </c>
      <c r="W28" s="15">
        <f>U28/V28</f>
        <v>-1.0153373703683455</v>
      </c>
      <c r="X28" s="15">
        <f>IF(W28&gt;0,(1-NORMSDIST(W28)),(NORMSDIST(W28)))</f>
        <v>0.15497251818206162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66">
        <v>16.847169999999998</v>
      </c>
      <c r="E29" s="66">
        <v>1.2375499999999999</v>
      </c>
      <c r="F29" s="66">
        <v>15.215980000000002</v>
      </c>
      <c r="G29" s="66">
        <v>0.71231</v>
      </c>
      <c r="H29" s="46"/>
      <c r="I29" s="46">
        <f>F29-D29</f>
        <v>-1.6311899999999966</v>
      </c>
      <c r="J29" s="15">
        <f>SQRT(G29*G29+E29*E29)</f>
        <v>1.4279059978163828</v>
      </c>
      <c r="K29" s="15">
        <f>I29/J29</f>
        <v>-1.1423651154169006</v>
      </c>
      <c r="L29" s="15">
        <f>IF(K29&gt;0,(1-NORMSDIST(K29)),(NORMSDIST(K29)))</f>
        <v>0.12665114263781541</v>
      </c>
      <c r="M29" s="16" t="str">
        <f>IF(L29&lt;0.025,"Significativa","No significativa")</f>
        <v>No significativa</v>
      </c>
      <c r="O29" s="18" t="s">
        <v>26</v>
      </c>
      <c r="P29" s="66">
        <v>18.26688</v>
      </c>
      <c r="Q29" s="66">
        <v>0.87877000000000005</v>
      </c>
      <c r="R29" s="66">
        <v>15.215980000000002</v>
      </c>
      <c r="S29" s="66">
        <v>0.71231</v>
      </c>
      <c r="T29" s="4"/>
      <c r="U29" s="46">
        <f>R29-P29</f>
        <v>-3.0508999999999986</v>
      </c>
      <c r="V29" s="15">
        <f>SQRT(S29*S29+Q29*Q29)</f>
        <v>1.1312038936460571</v>
      </c>
      <c r="W29" s="15">
        <f>U29/V29</f>
        <v>-2.6970380999719188</v>
      </c>
      <c r="X29" s="15">
        <f>IF(W29&gt;0,(1-NORMSDIST(W29)),(NORMSDIST(W29)))</f>
        <v>3.4979632731932707E-3</v>
      </c>
      <c r="Y29" s="16" t="str">
        <f>IF(X29&lt;0.025,"Significativa","No significativa")</f>
        <v>Significativa</v>
      </c>
    </row>
    <row r="30" spans="3:25" x14ac:dyDescent="0.25">
      <c r="C30" s="8" t="s">
        <v>27</v>
      </c>
      <c r="I30" s="46"/>
      <c r="J30" s="15"/>
      <c r="K30" s="15"/>
      <c r="L30" s="15"/>
      <c r="M30" s="16"/>
      <c r="O30" s="8" t="s">
        <v>27</v>
      </c>
      <c r="T30" s="4"/>
      <c r="U30" s="46"/>
      <c r="V30" s="15"/>
      <c r="W30" s="15"/>
      <c r="X30" s="15"/>
      <c r="Y30" s="16"/>
    </row>
    <row r="31" spans="3:25" x14ac:dyDescent="0.25">
      <c r="C31" s="21" t="s">
        <v>28</v>
      </c>
      <c r="D31" s="66">
        <v>11.32109</v>
      </c>
      <c r="E31" s="66">
        <v>1.1412100000000001</v>
      </c>
      <c r="F31" s="66">
        <v>8.6720900000000007</v>
      </c>
      <c r="G31" s="66">
        <v>0.57091999999999998</v>
      </c>
      <c r="H31" s="46"/>
      <c r="I31" s="46">
        <f>F31-D31</f>
        <v>-2.6489999999999991</v>
      </c>
      <c r="J31" s="15">
        <f>SQRT(G31*G31+E31*E31)</f>
        <v>1.276052471687587</v>
      </c>
      <c r="K31" s="15">
        <f>I31/J31</f>
        <v>-2.0759334422170594</v>
      </c>
      <c r="L31" s="15">
        <f>IF(K31&gt;0,(1-NORMSDIST(K31)),(NORMSDIST(K31)))</f>
        <v>1.8950053598495071E-2</v>
      </c>
      <c r="M31" s="16" t="str">
        <f>IF(L31&lt;0.025,"Significativa","No significativa")</f>
        <v>Significativa</v>
      </c>
      <c r="O31" s="21" t="s">
        <v>28</v>
      </c>
      <c r="P31" s="66">
        <v>6.474870000000001</v>
      </c>
      <c r="Q31" s="66">
        <v>0.60750999999999999</v>
      </c>
      <c r="R31" s="66">
        <v>8.6720900000000007</v>
      </c>
      <c r="S31" s="66">
        <v>0.57091999999999998</v>
      </c>
      <c r="T31" s="22"/>
      <c r="U31" s="46">
        <f>R31-P31</f>
        <v>2.1972199999999997</v>
      </c>
      <c r="V31" s="15">
        <f>SQRT(S31*S31+Q31*Q31)</f>
        <v>0.83367742352782948</v>
      </c>
      <c r="W31" s="15">
        <f>U31/V31</f>
        <v>2.6355757490734701</v>
      </c>
      <c r="X31" s="15">
        <f>IF(W31&gt;0,(1-NORMSDIST(W31)),(NORMSDIST(W31)))</f>
        <v>4.1997337929665646E-3</v>
      </c>
      <c r="Y31" s="16" t="str">
        <f>IF(X31&lt;0.025,"Significativa","No significativa")</f>
        <v>Significativa</v>
      </c>
    </row>
    <row r="32" spans="3:25" ht="15" customHeight="1" thickBot="1" x14ac:dyDescent="0.3">
      <c r="C32" s="23" t="s">
        <v>29</v>
      </c>
      <c r="D32" s="65">
        <v>45.25488</v>
      </c>
      <c r="E32" s="65">
        <v>1.6208299999999998</v>
      </c>
      <c r="F32" s="65">
        <v>34.862639999999999</v>
      </c>
      <c r="G32" s="65">
        <v>1.00457</v>
      </c>
      <c r="H32" s="30"/>
      <c r="I32" s="30">
        <f>F32-D32</f>
        <v>-10.392240000000001</v>
      </c>
      <c r="J32" s="25">
        <f>SQRT(G32*G32+E32*E32)</f>
        <v>1.906895585447719</v>
      </c>
      <c r="K32" s="25">
        <f>I32/J32</f>
        <v>-5.4498212064191298</v>
      </c>
      <c r="L32" s="25">
        <f>IF(K32&gt;0,(1-NORMSDIST(K32)),(NORMSDIST(K32)))</f>
        <v>2.5210241365788855E-8</v>
      </c>
      <c r="M32" s="26" t="str">
        <f>IF(L32&lt;0.025,"Significativa","No significativa")</f>
        <v>Significativa</v>
      </c>
      <c r="O32" s="23" t="s">
        <v>29</v>
      </c>
      <c r="P32" s="65">
        <v>33.744190000000003</v>
      </c>
      <c r="Q32" s="65">
        <v>1.0831500000000001</v>
      </c>
      <c r="R32" s="65">
        <v>34.862639999999999</v>
      </c>
      <c r="S32" s="65">
        <v>1.00457</v>
      </c>
      <c r="T32" s="24"/>
      <c r="U32" s="30">
        <f>R32-P32</f>
        <v>1.1184499999999957</v>
      </c>
      <c r="V32" s="25">
        <f>SQRT(S32*S32+Q32*Q32)</f>
        <v>1.4772862983863353</v>
      </c>
      <c r="W32" s="25">
        <f>U32/V32</f>
        <v>0.75709766023126157</v>
      </c>
      <c r="X32" s="25">
        <f>IF(W32&gt;0,(1-NORMSDIST(W32)),(NORMSDIST(W32)))</f>
        <v>0.22449567786892832</v>
      </c>
      <c r="Y32" s="26" t="str">
        <f>IF(X32&lt;0.025,"Significativa","No significativa")</f>
        <v>No 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2F73-0A1E-43C0-A3BD-34C4D2E20FC5}">
  <dimension ref="A4:Y34"/>
  <sheetViews>
    <sheetView zoomScaleNormal="100" workbookViewId="0">
      <selection activeCell="G35" sqref="G35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87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86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66">
        <v>27.410400000000003</v>
      </c>
      <c r="E14" s="66">
        <v>1.8555599999999999</v>
      </c>
      <c r="F14" s="66">
        <v>27.81165</v>
      </c>
      <c r="G14" s="66">
        <v>1.3705699999999998</v>
      </c>
      <c r="H14" s="46"/>
      <c r="I14" s="46">
        <f>F14-D14</f>
        <v>0.40124999999999744</v>
      </c>
      <c r="J14" s="15">
        <f>SQRT(G14*G14+E14*E14)</f>
        <v>2.3068517591080706</v>
      </c>
      <c r="K14" s="15">
        <f>I14/J14</f>
        <v>0.17393835490978327</v>
      </c>
      <c r="L14" s="15">
        <f>IF(K14&gt;0,(1-NORMSDIST(K14)),(NORMSDIST(K14)))</f>
        <v>0.43095695459542183</v>
      </c>
      <c r="M14" s="16" t="str">
        <f>IF(L14&lt;0.025,"Significativa","No significativa")</f>
        <v>No significativa</v>
      </c>
      <c r="O14" s="13" t="s">
        <v>11</v>
      </c>
      <c r="P14" s="66">
        <v>30.868600000000001</v>
      </c>
      <c r="Q14" s="66">
        <v>1.32917</v>
      </c>
      <c r="R14" s="66">
        <v>27.81165</v>
      </c>
      <c r="S14" s="66">
        <v>1.3705699999999998</v>
      </c>
      <c r="T14" s="4"/>
      <c r="U14" s="14">
        <f>R14-P14</f>
        <v>-3.0569500000000005</v>
      </c>
      <c r="V14" s="15">
        <f>SQRT(S14*S14+Q14*Q14)</f>
        <v>1.9092289055532339</v>
      </c>
      <c r="W14" s="15">
        <f>U14/V14</f>
        <v>-1.6011437869542382</v>
      </c>
      <c r="X14" s="15">
        <f>IF(W14&gt;0,(1-NORMSDIST(W14)),(NORMSDIST(W14)))</f>
        <v>5.4672537942359836E-2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66">
        <v>25.668520000000001</v>
      </c>
      <c r="E15" s="66">
        <v>1.6791099999999999</v>
      </c>
      <c r="F15" s="66">
        <v>25.101400000000002</v>
      </c>
      <c r="G15" s="66">
        <v>1.1977899999999999</v>
      </c>
      <c r="H15" s="46"/>
      <c r="I15" s="46">
        <f>F15-D15</f>
        <v>-0.56711999999999918</v>
      </c>
      <c r="J15" s="15">
        <f>SQRT(G15*G15+E15*E15)</f>
        <v>2.062549702722337</v>
      </c>
      <c r="K15" s="15">
        <f>I15/J15</f>
        <v>-0.27496064664597591</v>
      </c>
      <c r="L15" s="15">
        <f>IF(K15&gt;0,(1-NORMSDIST(K15)),(NORMSDIST(K15)))</f>
        <v>0.39167323639013024</v>
      </c>
      <c r="M15" s="16" t="str">
        <f>IF(L15&lt;0.025,"Significativa","No significativa")</f>
        <v>No significativa</v>
      </c>
      <c r="O15" s="13" t="s">
        <v>12</v>
      </c>
      <c r="P15" s="66">
        <v>28.477920000000001</v>
      </c>
      <c r="Q15" s="66">
        <v>1.22441</v>
      </c>
      <c r="R15" s="66">
        <v>25.101400000000002</v>
      </c>
      <c r="S15" s="66">
        <v>1.1977899999999999</v>
      </c>
      <c r="T15" s="4"/>
      <c r="U15" s="14">
        <f>R15-P15</f>
        <v>-3.3765199999999993</v>
      </c>
      <c r="V15" s="15">
        <f>SQRT(S15*S15+Q15*Q15)</f>
        <v>1.7128574757404655</v>
      </c>
      <c r="W15" s="15">
        <f>U15/V15</f>
        <v>-1.9712790163935474</v>
      </c>
      <c r="X15" s="15">
        <f>IF(W15&gt;0,(1-NORMSDIST(W15)),(NORMSDIST(W15)))</f>
        <v>2.4345985073380764E-2</v>
      </c>
      <c r="Y15" s="16" t="str">
        <f>IF(X15&lt;0.025,"Significativa","No significativa")</f>
        <v>Significativa</v>
      </c>
    </row>
    <row r="16" spans="1:25" ht="15" customHeight="1" x14ac:dyDescent="0.25">
      <c r="C16" s="13" t="s">
        <v>13</v>
      </c>
      <c r="D16" s="66">
        <v>1.7418900000000002</v>
      </c>
      <c r="E16" s="66">
        <v>0.45027</v>
      </c>
      <c r="F16" s="66">
        <v>2.7102500000000003</v>
      </c>
      <c r="G16" s="66">
        <v>0.41979</v>
      </c>
      <c r="H16" s="46"/>
      <c r="I16" s="46">
        <f>F16-D16</f>
        <v>0.96836000000000011</v>
      </c>
      <c r="J16" s="15">
        <f>SQRT(G16*G16+E16*E16)</f>
        <v>0.61560272660214888</v>
      </c>
      <c r="K16" s="15">
        <f>I16/J16</f>
        <v>1.5730274707276124</v>
      </c>
      <c r="L16" s="15">
        <f>IF(K16&gt;0,(1-NORMSDIST(K16)),(NORMSDIST(K16)))</f>
        <v>5.7856228740198912E-2</v>
      </c>
      <c r="M16" s="16" t="str">
        <f>IF(L16&lt;0.025,"Significativa","No significativa")</f>
        <v>No significativa</v>
      </c>
      <c r="O16" s="13" t="s">
        <v>13</v>
      </c>
      <c r="P16" s="66">
        <v>2.3906700000000001</v>
      </c>
      <c r="Q16" s="66">
        <v>0.35185</v>
      </c>
      <c r="R16" s="66">
        <v>2.7102500000000003</v>
      </c>
      <c r="S16" s="66">
        <v>0.41979</v>
      </c>
      <c r="T16" s="4"/>
      <c r="U16" s="14">
        <f>R16-P16</f>
        <v>0.3195800000000002</v>
      </c>
      <c r="V16" s="15">
        <f>SQRT(S16*S16+Q16*Q16)</f>
        <v>0.54774270109240153</v>
      </c>
      <c r="W16" s="15">
        <f>U16/V16</f>
        <v>0.5834491255887837</v>
      </c>
      <c r="X16" s="15">
        <f>IF(W16&gt;0,(1-NORMSDIST(W16)),(NORMSDIST(W16)))</f>
        <v>0.27979549771596712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66">
        <v>39.736840000000001</v>
      </c>
      <c r="E17" s="66">
        <v>1.91635</v>
      </c>
      <c r="F17" s="66">
        <v>34.651199999999996</v>
      </c>
      <c r="G17" s="66">
        <v>0.99147000000000007</v>
      </c>
      <c r="H17" s="46"/>
      <c r="I17" s="46">
        <f>F17-D17</f>
        <v>-5.085640000000005</v>
      </c>
      <c r="J17" s="15">
        <f>SQRT(G17*G17+E17*E17)</f>
        <v>2.1576399336775358</v>
      </c>
      <c r="K17" s="15">
        <f>I17/J17</f>
        <v>-2.3570383179421008</v>
      </c>
      <c r="L17" s="15">
        <f>IF(K17&gt;0,(1-NORMSDIST(K17)),(NORMSDIST(K17)))</f>
        <v>9.2106729512687249E-3</v>
      </c>
      <c r="M17" s="16" t="str">
        <f>IF(L17&lt;0.025,"Significativa","No significativa")</f>
        <v>Significativa</v>
      </c>
      <c r="O17" s="13" t="s">
        <v>14</v>
      </c>
      <c r="P17" s="66">
        <v>35.222589999999997</v>
      </c>
      <c r="Q17" s="66">
        <v>1.1104100000000001</v>
      </c>
      <c r="R17" s="66">
        <v>34.651199999999996</v>
      </c>
      <c r="S17" s="66">
        <v>0.99147000000000007</v>
      </c>
      <c r="T17" s="4"/>
      <c r="U17" s="14">
        <f>R17-P17</f>
        <v>-0.57139000000000095</v>
      </c>
      <c r="V17" s="15">
        <f>SQRT(S17*S17+Q17*Q17)</f>
        <v>1.4886312938400832</v>
      </c>
      <c r="W17" s="15">
        <f>U17/V17</f>
        <v>-0.38383581103285791</v>
      </c>
      <c r="X17" s="15">
        <f>IF(W17&gt;0,(1-NORMSDIST(W17)),(NORMSDIST(W17)))</f>
        <v>0.35055007199493837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66">
        <v>3.4989499999999998</v>
      </c>
      <c r="E18" s="66">
        <v>0.66058000000000006</v>
      </c>
      <c r="F18" s="66">
        <v>6.5102999999999991</v>
      </c>
      <c r="G18" s="66">
        <v>0.51364999999999994</v>
      </c>
      <c r="H18" s="46"/>
      <c r="I18" s="46">
        <f>F18-D18</f>
        <v>3.0113499999999993</v>
      </c>
      <c r="J18" s="15">
        <f>SQRT(G18*G18+E18*E18)</f>
        <v>0.83678089061593663</v>
      </c>
      <c r="K18" s="15">
        <f>I18/J18</f>
        <v>3.5987317991731484</v>
      </c>
      <c r="L18" s="15">
        <f>IF(K18&gt;0,(1-NORMSDIST(K18)),(NORMSDIST(K18)))</f>
        <v>1.5988637863761923E-4</v>
      </c>
      <c r="M18" s="16" t="str">
        <f>IF(L18&lt;0.025,"Significativa","No significativa")</f>
        <v>Significativa</v>
      </c>
      <c r="O18" s="13" t="s">
        <v>15</v>
      </c>
      <c r="P18" s="66">
        <v>5.4078300000000006</v>
      </c>
      <c r="Q18" s="66">
        <v>0.46008000000000004</v>
      </c>
      <c r="R18" s="66">
        <v>6.5102999999999991</v>
      </c>
      <c r="S18" s="66">
        <v>0.51364999999999994</v>
      </c>
      <c r="T18" s="4"/>
      <c r="U18" s="14">
        <f>R18-P18</f>
        <v>1.1024699999999985</v>
      </c>
      <c r="V18" s="15">
        <f>SQRT(S18*S18+Q18*Q18)</f>
        <v>0.68957227967777246</v>
      </c>
      <c r="W18" s="15">
        <f>U18/V18</f>
        <v>1.5987736637487333</v>
      </c>
      <c r="X18" s="15">
        <f>IF(W18&gt;0,(1-NORMSDIST(W18)),(NORMSDIST(W18)))</f>
        <v>5.4935451444454886E-2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66">
        <v>29.353810000000003</v>
      </c>
      <c r="E19" s="66">
        <v>1.4251099999999999</v>
      </c>
      <c r="F19" s="66">
        <v>31.02685</v>
      </c>
      <c r="G19" s="66">
        <v>1.3671300000000002</v>
      </c>
      <c r="H19" s="46"/>
      <c r="I19" s="46">
        <f>F19-D19</f>
        <v>1.6730399999999968</v>
      </c>
      <c r="J19" s="15">
        <f>SQRT(G19*G19+E19*E19)</f>
        <v>1.9748374487536942</v>
      </c>
      <c r="K19" s="15">
        <f>I19/J19</f>
        <v>0.84717858730896578</v>
      </c>
      <c r="L19" s="15">
        <f>IF(K19&gt;0,(1-NORMSDIST(K19)),(NORMSDIST(K19)))</f>
        <v>0.19844779338469221</v>
      </c>
      <c r="M19" s="16" t="str">
        <f>IF(L19&lt;0.025,"Significativa","No significativa")</f>
        <v>No significativa</v>
      </c>
      <c r="O19" s="13" t="s">
        <v>16</v>
      </c>
      <c r="P19" s="66">
        <v>28.500979999999998</v>
      </c>
      <c r="Q19" s="66">
        <v>1.21414</v>
      </c>
      <c r="R19" s="66">
        <v>31.02685</v>
      </c>
      <c r="S19" s="66">
        <v>1.3671300000000002</v>
      </c>
      <c r="T19" s="4"/>
      <c r="U19" s="14">
        <f>R19-P19</f>
        <v>2.5258700000000012</v>
      </c>
      <c r="V19" s="15">
        <f>SQRT(S19*S19+Q19*Q19)</f>
        <v>1.8284365935137046</v>
      </c>
      <c r="W19" s="15">
        <f>U19/V19</f>
        <v>1.381437020545536</v>
      </c>
      <c r="X19" s="15">
        <f>IF(W19&gt;0,(1-NORMSDIST(W19)),(NORMSDIST(W19)))</f>
        <v>8.3572314851279805E-2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I20" s="46">
        <f>F20-D20</f>
        <v>0</v>
      </c>
      <c r="J20" s="15"/>
      <c r="K20" s="15"/>
      <c r="L20" s="15"/>
      <c r="M20" s="16"/>
      <c r="O20" s="17" t="s">
        <v>17</v>
      </c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66">
        <v>67.14725</v>
      </c>
      <c r="E21" s="66">
        <v>1.52068</v>
      </c>
      <c r="F21" s="66">
        <v>62.462850000000003</v>
      </c>
      <c r="G21" s="66">
        <v>1.39073</v>
      </c>
      <c r="H21" s="46"/>
      <c r="I21" s="46">
        <f>F21-D21</f>
        <v>-4.6843999999999966</v>
      </c>
      <c r="J21" s="15">
        <f>SQRT(G21*G21+E21*E21)</f>
        <v>2.0607274432345486</v>
      </c>
      <c r="K21" s="15">
        <f>I21/J21</f>
        <v>-2.2731778602643793</v>
      </c>
      <c r="L21" s="15">
        <f>IF(K21&gt;0,(1-NORMSDIST(K21)),(NORMSDIST(K21)))</f>
        <v>1.1507731957652666E-2</v>
      </c>
      <c r="M21" s="16" t="str">
        <f>IF(L21&lt;0.025,"Significativa","No significativa")</f>
        <v>Significativa</v>
      </c>
      <c r="O21" s="18" t="s">
        <v>18</v>
      </c>
      <c r="P21" s="66">
        <v>66.091180000000008</v>
      </c>
      <c r="Q21" s="66">
        <v>1.2548600000000001</v>
      </c>
      <c r="R21" s="66">
        <v>62.462850000000003</v>
      </c>
      <c r="S21" s="66">
        <v>1.39073</v>
      </c>
      <c r="T21" s="4"/>
      <c r="U21" s="14">
        <f>R21-P21</f>
        <v>-3.6283300000000054</v>
      </c>
      <c r="V21" s="15">
        <f>SQRT(S21*S21+Q21*Q21)</f>
        <v>1.8731800640888745</v>
      </c>
      <c r="W21" s="15">
        <f>U21/V21</f>
        <v>-1.9369894382069701</v>
      </c>
      <c r="X21" s="15">
        <f>IF(W21&gt;0,(1-NORMSDIST(W21)),(NORMSDIST(W21)))</f>
        <v>2.6373317222171924E-2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66">
        <v>13.790789999999999</v>
      </c>
      <c r="E22" s="66">
        <v>1.35423</v>
      </c>
      <c r="F22" s="66">
        <v>11.645060000000001</v>
      </c>
      <c r="G22" s="66">
        <v>0.97660999999999998</v>
      </c>
      <c r="H22" s="46"/>
      <c r="I22" s="46">
        <f>F22-D22</f>
        <v>-2.1457299999999986</v>
      </c>
      <c r="J22" s="15">
        <f>SQRT(G22*G22+E22*E22)</f>
        <v>1.6696424722077479</v>
      </c>
      <c r="K22" s="15">
        <f>I22/J22</f>
        <v>-1.2851433978932782</v>
      </c>
      <c r="L22" s="15">
        <f>IF(K22&gt;0,(1-NORMSDIST(K22)),(NORMSDIST(K22)))</f>
        <v>9.9371089353628678E-2</v>
      </c>
      <c r="M22" s="16" t="str">
        <f>IF(L22&lt;0.025,"Significativa","No significativa")</f>
        <v>No significativa</v>
      </c>
      <c r="O22" s="18" t="s">
        <v>19</v>
      </c>
      <c r="P22" s="66">
        <v>12.56596</v>
      </c>
      <c r="Q22" s="66">
        <v>0.91307000000000005</v>
      </c>
      <c r="R22" s="66">
        <v>11.645060000000001</v>
      </c>
      <c r="S22" s="66">
        <v>0.97660999999999998</v>
      </c>
      <c r="T22" s="4"/>
      <c r="U22" s="14">
        <f>R22-P22</f>
        <v>-0.92089999999999961</v>
      </c>
      <c r="V22" s="15">
        <f>SQRT(S22*S22+Q22*Q22)</f>
        <v>1.336960701367097</v>
      </c>
      <c r="W22" s="15">
        <f>U22/V22</f>
        <v>-0.68880109868475692</v>
      </c>
      <c r="X22" s="15">
        <f>IF(W22&gt;0,(1-NORMSDIST(W22)),(NORMSDIST(W22)))</f>
        <v>0.24547422207785069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I23" s="46">
        <f>F23-D23</f>
        <v>0</v>
      </c>
      <c r="J23" s="15"/>
      <c r="K23" s="15"/>
      <c r="L23" s="15"/>
      <c r="M23" s="16"/>
      <c r="O23" s="19" t="s">
        <v>20</v>
      </c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66">
        <v>18.56363</v>
      </c>
      <c r="E24" s="66">
        <v>0.82521999999999995</v>
      </c>
      <c r="F24" s="66">
        <v>15.11979</v>
      </c>
      <c r="G24" s="66">
        <v>0.70767999999999998</v>
      </c>
      <c r="H24" s="46"/>
      <c r="I24" s="46">
        <f>F24-D24</f>
        <v>-3.4438399999999998</v>
      </c>
      <c r="J24" s="15">
        <f>SQRT(G24*G24+E24*E24)</f>
        <v>1.0871058047862683</v>
      </c>
      <c r="K24" s="15">
        <f>I24/J24</f>
        <v>-3.1678977196493583</v>
      </c>
      <c r="L24" s="15">
        <f>IF(K24&gt;0,(1-NORMSDIST(K24)),(NORMSDIST(K24)))</f>
        <v>7.6772764626964224E-4</v>
      </c>
      <c r="M24" s="16" t="str">
        <f>IF(L24&lt;0.025,"Significativa","No significativa")</f>
        <v>Significativa</v>
      </c>
      <c r="O24" s="20" t="s">
        <v>21</v>
      </c>
      <c r="P24" s="66">
        <v>16.643260000000001</v>
      </c>
      <c r="Q24" s="66">
        <v>0.60602</v>
      </c>
      <c r="R24" s="66">
        <v>15.11979</v>
      </c>
      <c r="S24" s="66">
        <v>0.70767999999999998</v>
      </c>
      <c r="T24" s="4"/>
      <c r="U24" s="14">
        <f>R24-P24</f>
        <v>-1.5234700000000014</v>
      </c>
      <c r="V24" s="15">
        <f>SQRT(S24*S24+Q24*Q24)</f>
        <v>0.93170339851263828</v>
      </c>
      <c r="W24" s="15">
        <f>U24/V24</f>
        <v>-1.6351448351825841</v>
      </c>
      <c r="X24" s="15">
        <f>IF(W24&gt;0,(1-NORMSDIST(W24)),(NORMSDIST(W24)))</f>
        <v>5.1009344597314224E-2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66">
        <v>17.00066</v>
      </c>
      <c r="E25" s="66">
        <v>1.0504</v>
      </c>
      <c r="F25" s="66">
        <v>18.973279999999999</v>
      </c>
      <c r="G25" s="66">
        <v>0.87702999999999998</v>
      </c>
      <c r="H25" s="46"/>
      <c r="I25" s="46">
        <f>F25-D25</f>
        <v>1.9726199999999992</v>
      </c>
      <c r="J25" s="15">
        <f>SQRT(G25*G25+E25*E25)</f>
        <v>1.3684011768849076</v>
      </c>
      <c r="K25" s="15">
        <f>I25/J25</f>
        <v>1.4415509379278404</v>
      </c>
      <c r="L25" s="15">
        <f>IF(K25&gt;0,(1-NORMSDIST(K25)),(NORMSDIST(K25)))</f>
        <v>7.4714548808191394E-2</v>
      </c>
      <c r="M25" s="16" t="str">
        <f>IF(L25&lt;0.025,"Significativa","No significativa")</f>
        <v>No significativa</v>
      </c>
      <c r="O25" s="18" t="s">
        <v>22</v>
      </c>
      <c r="P25" s="66">
        <v>10.83611</v>
      </c>
      <c r="Q25" s="66">
        <v>0.59872000000000003</v>
      </c>
      <c r="R25" s="66">
        <v>18.973279999999999</v>
      </c>
      <c r="S25" s="66">
        <v>0.87702999999999998</v>
      </c>
      <c r="T25" s="4"/>
      <c r="U25" s="14">
        <f>R25-P25</f>
        <v>8.1371699999999993</v>
      </c>
      <c r="V25" s="15">
        <f>SQRT(S25*S25+Q25*Q25)</f>
        <v>1.061907368511962</v>
      </c>
      <c r="W25" s="15">
        <f>U25/V25</f>
        <v>7.6627870201169408</v>
      </c>
      <c r="X25" s="15">
        <f>IF(W25&gt;0,(1-NORMSDIST(W25)),(NORMSDIST(W25)))</f>
        <v>9.1038288019262836E-15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66">
        <v>56.02769</v>
      </c>
      <c r="E26" s="66">
        <v>1.52108</v>
      </c>
      <c r="F26" s="66">
        <v>47.010750000000002</v>
      </c>
      <c r="G26" s="66">
        <v>1.26278</v>
      </c>
      <c r="H26" s="46"/>
      <c r="I26" s="46">
        <f>F26-D26</f>
        <v>-9.0169399999999982</v>
      </c>
      <c r="J26" s="15">
        <f>SQRT(G26*G26+E26*E26)</f>
        <v>1.976941500095539</v>
      </c>
      <c r="K26" s="15">
        <f>I26/J26</f>
        <v>-4.5610555494759151</v>
      </c>
      <c r="L26" s="15">
        <f>IF(K26&gt;0,(1-NORMSDIST(K26)),(NORMSDIST(K26)))</f>
        <v>2.5448556390186653E-6</v>
      </c>
      <c r="M26" s="16" t="str">
        <f>IF(L26&lt;0.025,"Significativa","No significativa")</f>
        <v>Significativa</v>
      </c>
      <c r="O26" s="18" t="s">
        <v>23</v>
      </c>
      <c r="P26" s="66">
        <v>48.891129999999997</v>
      </c>
      <c r="Q26" s="66">
        <v>1.3153900000000001</v>
      </c>
      <c r="R26" s="66">
        <v>47.010750000000002</v>
      </c>
      <c r="S26" s="66">
        <v>1.26278</v>
      </c>
      <c r="T26" s="4"/>
      <c r="U26" s="14">
        <f>R26-P26</f>
        <v>-1.8803799999999953</v>
      </c>
      <c r="V26" s="15">
        <f>SQRT(S26*S26+Q26*Q26)</f>
        <v>1.8234210102167849</v>
      </c>
      <c r="W26" s="15">
        <f>U26/V26</f>
        <v>-1.0312374319831044</v>
      </c>
      <c r="X26" s="15">
        <f>IF(W26&gt;0,(1-NORMSDIST(W26)),(NORMSDIST(W26)))</f>
        <v>0.15121474555780903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66">
        <v>11.107699999999999</v>
      </c>
      <c r="E27" s="66">
        <v>1.57067</v>
      </c>
      <c r="F27" s="66">
        <v>7.4252899999999995</v>
      </c>
      <c r="G27" s="66">
        <v>0.74644999999999995</v>
      </c>
      <c r="H27" s="46"/>
      <c r="I27" s="46">
        <f>F27-D27</f>
        <v>-3.68241</v>
      </c>
      <c r="J27" s="15">
        <f>SQRT(G27*G27+E27*E27)</f>
        <v>1.7390203711860306</v>
      </c>
      <c r="K27" s="15">
        <f>I27/J27</f>
        <v>-2.1175197605583866</v>
      </c>
      <c r="L27" s="15">
        <f>IF(K27&gt;0,(1-NORMSDIST(K27)),(NORMSDIST(K27)))</f>
        <v>1.7107880015928351E-2</v>
      </c>
      <c r="M27" s="16" t="str">
        <f>IF(L27&lt;0.025,"Significativa","No significativa")</f>
        <v>Significativa</v>
      </c>
      <c r="O27" s="18" t="s">
        <v>24</v>
      </c>
      <c r="P27" s="66">
        <v>9.3911999999999995</v>
      </c>
      <c r="Q27" s="66">
        <v>1.0177200000000002</v>
      </c>
      <c r="R27" s="66">
        <v>7.4252899999999995</v>
      </c>
      <c r="S27" s="66">
        <v>0.74644999999999995</v>
      </c>
      <c r="T27" s="4"/>
      <c r="U27" s="14">
        <f>R27-P27</f>
        <v>-1.96591</v>
      </c>
      <c r="V27" s="15">
        <f>SQRT(S27*S27+Q27*Q27)</f>
        <v>1.262117902931418</v>
      </c>
      <c r="W27" s="15">
        <f>U27/V27</f>
        <v>-1.557627853494465</v>
      </c>
      <c r="X27" s="15">
        <f>IF(W27&gt;0,(1-NORMSDIST(W27)),(NORMSDIST(W27)))</f>
        <v>5.9660745992820424E-2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66">
        <v>6.1001600000000007</v>
      </c>
      <c r="E28" s="66">
        <v>1.1930100000000001</v>
      </c>
      <c r="F28" s="66">
        <v>7.8554399999999998</v>
      </c>
      <c r="G28" s="66">
        <v>0.86580999999999997</v>
      </c>
      <c r="H28" s="46"/>
      <c r="I28" s="46">
        <f>F28-D28</f>
        <v>1.7552799999999991</v>
      </c>
      <c r="J28" s="15">
        <f>SQRT(G28*G28+E28*E28)</f>
        <v>1.474075919415279</v>
      </c>
      <c r="K28" s="15">
        <f>I28/J28</f>
        <v>1.1907663485176971</v>
      </c>
      <c r="L28" s="15">
        <f>IF(K28&gt;0,(1-NORMSDIST(K28)),(NORMSDIST(K28)))</f>
        <v>0.11687266149561704</v>
      </c>
      <c r="M28" s="16" t="str">
        <f>IF(L28&lt;0.025,"Significativa","No significativa")</f>
        <v>No significativa</v>
      </c>
      <c r="O28" s="18" t="s">
        <v>25</v>
      </c>
      <c r="P28" s="66">
        <v>10.532030000000001</v>
      </c>
      <c r="Q28" s="66">
        <v>0.96282000000000001</v>
      </c>
      <c r="R28" s="66">
        <v>7.8554399999999998</v>
      </c>
      <c r="S28" s="66">
        <v>0.86580999999999997</v>
      </c>
      <c r="T28" s="4"/>
      <c r="U28" s="14">
        <f>R28-P28</f>
        <v>-2.6765900000000009</v>
      </c>
      <c r="V28" s="15">
        <f>SQRT(S28*S28+Q28*Q28)</f>
        <v>1.2948549372420064</v>
      </c>
      <c r="W28" s="15">
        <f>U28/V28</f>
        <v>-2.067096415990072</v>
      </c>
      <c r="X28" s="15">
        <f>IF(W28&gt;0,(1-NORMSDIST(W28)),(NORMSDIST(W28)))</f>
        <v>1.9362534879112197E-2</v>
      </c>
      <c r="Y28" s="16" t="str">
        <f>IF(X28&lt;0.025,"Significativa","No significativa")</f>
        <v>Significativa</v>
      </c>
    </row>
    <row r="29" spans="3:25" x14ac:dyDescent="0.25">
      <c r="C29" s="18" t="s">
        <v>26</v>
      </c>
      <c r="D29" s="66">
        <v>14.339859999999998</v>
      </c>
      <c r="E29" s="66">
        <v>1.6842300000000001</v>
      </c>
      <c r="F29" s="66">
        <v>16.59254</v>
      </c>
      <c r="G29" s="66">
        <v>1.0975699999999999</v>
      </c>
      <c r="H29" s="46"/>
      <c r="I29" s="46">
        <f>F29-D29</f>
        <v>2.2526800000000016</v>
      </c>
      <c r="J29" s="15">
        <f>SQRT(G29*G29+E29*E29)</f>
        <v>2.0102961467903184</v>
      </c>
      <c r="K29" s="15">
        <f>I29/J29</f>
        <v>1.1205712171297142</v>
      </c>
      <c r="L29" s="15">
        <f>IF(K29&gt;0,(1-NORMSDIST(K29)),(NORMSDIST(K29)))</f>
        <v>0.13123521122698079</v>
      </c>
      <c r="M29" s="16" t="str">
        <f>IF(L29&lt;0.025,"Significativa","No significativa")</f>
        <v>No significativa</v>
      </c>
      <c r="O29" s="18" t="s">
        <v>26</v>
      </c>
      <c r="P29" s="66">
        <v>21.622170000000001</v>
      </c>
      <c r="Q29" s="66">
        <v>1.24414</v>
      </c>
      <c r="R29" s="66">
        <v>16.59254</v>
      </c>
      <c r="S29" s="66">
        <v>1.0975699999999999</v>
      </c>
      <c r="T29" s="4"/>
      <c r="U29" s="14">
        <f>R29-P29</f>
        <v>-5.0296300000000009</v>
      </c>
      <c r="V29" s="15">
        <f>SQRT(S29*S29+Q29*Q29)</f>
        <v>1.6590793364092027</v>
      </c>
      <c r="W29" s="15">
        <f>U29/V29</f>
        <v>-3.0315789544373368</v>
      </c>
      <c r="X29" s="15">
        <f>IF(W29&gt;0,(1-NORMSDIST(W29)),(NORMSDIST(W29)))</f>
        <v>1.2163914367175636E-3</v>
      </c>
      <c r="Y29" s="16" t="str">
        <f>IF(X29&lt;0.025,"Significativa","No significativa")</f>
        <v>Significativa</v>
      </c>
    </row>
    <row r="30" spans="3:25" x14ac:dyDescent="0.25">
      <c r="C30" s="8" t="s">
        <v>27</v>
      </c>
      <c r="I30" s="46">
        <f>F30-D30</f>
        <v>0</v>
      </c>
      <c r="J30" s="15"/>
      <c r="K30" s="15"/>
      <c r="L30" s="15"/>
      <c r="M30" s="16"/>
      <c r="O30" s="8" t="s">
        <v>27</v>
      </c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66">
        <v>7.4069300000000009</v>
      </c>
      <c r="E31" s="66">
        <v>0.96328999999999998</v>
      </c>
      <c r="F31" s="66">
        <v>9.9001800000000006</v>
      </c>
      <c r="G31" s="66">
        <v>0.86037000000000008</v>
      </c>
      <c r="H31" s="46"/>
      <c r="I31" s="46">
        <f>F31-D31</f>
        <v>2.4932499999999997</v>
      </c>
      <c r="J31" s="15">
        <f>SQRT(G31*G31+E31*E31)</f>
        <v>1.291574295578849</v>
      </c>
      <c r="K31" s="15">
        <f>I31/J31</f>
        <v>1.9303961131268814</v>
      </c>
      <c r="L31" s="15">
        <f>IF(K31&gt;0,(1-NORMSDIST(K31)),(NORMSDIST(K31)))</f>
        <v>2.6778888087128028E-2</v>
      </c>
      <c r="M31" s="16" t="str">
        <f>IF(L31&lt;0.025,"Significativa","No significativa")</f>
        <v>No significativa</v>
      </c>
      <c r="O31" s="21" t="s">
        <v>28</v>
      </c>
      <c r="P31" s="66">
        <v>9.7066700000000008</v>
      </c>
      <c r="Q31" s="66">
        <v>0.82670999999999994</v>
      </c>
      <c r="R31" s="66">
        <v>9.9001800000000006</v>
      </c>
      <c r="S31" s="66">
        <v>0.86037000000000008</v>
      </c>
      <c r="T31" s="22"/>
      <c r="U31" s="14">
        <f>R31-P31</f>
        <v>0.19350999999999985</v>
      </c>
      <c r="V31" s="15">
        <f>SQRT(S31*S31+Q31*Q31)</f>
        <v>1.1931831213187689</v>
      </c>
      <c r="W31" s="15">
        <f>U31/V31</f>
        <v>0.16217963239885794</v>
      </c>
      <c r="X31" s="15">
        <f>IF(W31&gt;0,(1-NORMSDIST(W31)),(NORMSDIST(W31)))</f>
        <v>0.43558219922408248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65">
        <v>30.909350000000003</v>
      </c>
      <c r="E32" s="65">
        <v>1.9906699999999999</v>
      </c>
      <c r="F32" s="65">
        <v>34.321950000000001</v>
      </c>
      <c r="G32" s="65">
        <v>1.42144</v>
      </c>
      <c r="H32" s="30"/>
      <c r="I32" s="30">
        <f>F32-D32</f>
        <v>3.4125999999999976</v>
      </c>
      <c r="J32" s="25">
        <f>SQRT(G32*G32+E32*E32)</f>
        <v>2.446070056744083</v>
      </c>
      <c r="K32" s="25">
        <f>I32/J32</f>
        <v>1.3951358386449668</v>
      </c>
      <c r="L32" s="25">
        <f>IF(K32&gt;0,(1-NORMSDIST(K32)),(NORMSDIST(K32)))</f>
        <v>8.1487440331027061E-2</v>
      </c>
      <c r="M32" s="26" t="str">
        <f>IF(L32&lt;0.025,"Significativa","No significativa")</f>
        <v>No significativa</v>
      </c>
      <c r="O32" s="23" t="s">
        <v>29</v>
      </c>
      <c r="P32" s="65">
        <v>36.276429999999998</v>
      </c>
      <c r="Q32" s="65">
        <v>1.40774</v>
      </c>
      <c r="R32" s="65">
        <v>34.321950000000001</v>
      </c>
      <c r="S32" s="65">
        <v>1.42144</v>
      </c>
      <c r="T32" s="24"/>
      <c r="U32" s="32">
        <f>R32-P32</f>
        <v>-1.9544799999999967</v>
      </c>
      <c r="V32" s="25">
        <f>SQRT(S32*S32+Q32*Q32)</f>
        <v>2.000555818066569</v>
      </c>
      <c r="W32" s="25">
        <f>U32/V32</f>
        <v>-0.97696849163093979</v>
      </c>
      <c r="X32" s="25">
        <f>IF(W32&gt;0,(1-NORMSDIST(W32)),(NORMSDIST(W32)))</f>
        <v>0.16429237572980718</v>
      </c>
      <c r="Y32" s="26" t="str">
        <f>IF(X32&lt;0.025,"Significativa","No significativa")</f>
        <v>No 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D010A-1E20-450F-9A1C-BB8026C67EEF}">
  <dimension ref="A4:Y34"/>
  <sheetViews>
    <sheetView zoomScaleNormal="100" workbookViewId="0">
      <selection activeCell="J35" sqref="J35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85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84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66">
        <v>77.011600000000001</v>
      </c>
      <c r="E14" s="66">
        <v>1.8410900000000001</v>
      </c>
      <c r="F14" s="66">
        <v>74.434640000000002</v>
      </c>
      <c r="G14" s="66">
        <v>1.4653700000000001</v>
      </c>
      <c r="H14" s="46"/>
      <c r="I14" s="46">
        <f>F14-D14</f>
        <v>-2.5769599999999997</v>
      </c>
      <c r="J14" s="15">
        <f>SQRT(G14*G14+E14*E14)</f>
        <v>2.3530664302139876</v>
      </c>
      <c r="K14" s="15">
        <f>I14/J14</f>
        <v>-1.0951497020700989</v>
      </c>
      <c r="L14" s="15">
        <f>IF(K14&gt;0,(1-NORMSDIST(K14)),(NORMSDIST(K14)))</f>
        <v>0.1367255285513807</v>
      </c>
      <c r="M14" s="16" t="str">
        <f>IF(L14&lt;0.025,"Significativa","No significativa")</f>
        <v>No significativa</v>
      </c>
      <c r="O14" s="13" t="s">
        <v>11</v>
      </c>
      <c r="P14" s="66">
        <v>76.411029999999997</v>
      </c>
      <c r="Q14" s="66">
        <v>1.6237600000000001</v>
      </c>
      <c r="R14" s="66">
        <v>74.434640000000002</v>
      </c>
      <c r="S14" s="66">
        <v>1.4653700000000001</v>
      </c>
      <c r="T14" s="4"/>
      <c r="U14" s="14">
        <f>R14-P14</f>
        <v>-1.976389999999995</v>
      </c>
      <c r="V14" s="15">
        <f>SQRT(S14*S14+Q14*Q14)</f>
        <v>2.1872141583530409</v>
      </c>
      <c r="W14" s="15">
        <f>U14/V14</f>
        <v>-0.90361064665391744</v>
      </c>
      <c r="X14" s="15">
        <f>IF(W14&gt;0,(1-NORMSDIST(W14)),(NORMSDIST(W14)))</f>
        <v>0.18310094692386947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66">
        <v>38.303249999999998</v>
      </c>
      <c r="E15" s="66">
        <v>1.60344</v>
      </c>
      <c r="F15" s="66">
        <v>46.239200000000004</v>
      </c>
      <c r="G15" s="66">
        <v>1.37761</v>
      </c>
      <c r="H15" s="46"/>
      <c r="I15" s="46">
        <f>F15-D15</f>
        <v>7.9359500000000054</v>
      </c>
      <c r="J15" s="15">
        <f>SQRT(G15*G15+E15*E15)</f>
        <v>2.1139605355114841</v>
      </c>
      <c r="K15" s="15">
        <f>I15/J15</f>
        <v>3.7540672433035085</v>
      </c>
      <c r="L15" s="15">
        <f>IF(K15&gt;0,(1-NORMSDIST(K15)),(NORMSDIST(K15)))</f>
        <v>8.6994077796664904E-5</v>
      </c>
      <c r="M15" s="16" t="str">
        <f>IF(L15&lt;0.025,"Significativa","No significativa")</f>
        <v>Significativa</v>
      </c>
      <c r="O15" s="13" t="s">
        <v>12</v>
      </c>
      <c r="P15" s="66">
        <v>46.698709999999998</v>
      </c>
      <c r="Q15" s="66">
        <v>1.8950399999999998</v>
      </c>
      <c r="R15" s="66">
        <v>46.239200000000004</v>
      </c>
      <c r="S15" s="66">
        <v>1.37761</v>
      </c>
      <c r="T15" s="4"/>
      <c r="U15" s="14">
        <f>R15-P15</f>
        <v>-0.45950999999999453</v>
      </c>
      <c r="V15" s="15">
        <f>SQRT(S15*S15+Q15*Q15)</f>
        <v>2.3428584920348903</v>
      </c>
      <c r="W15" s="15">
        <f>U15/V15</f>
        <v>-0.19613220412680027</v>
      </c>
      <c r="X15" s="15">
        <f>IF(W15&gt;0,(1-NORMSDIST(W15)),(NORMSDIST(W15)))</f>
        <v>0.42225334525033642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66">
        <v>38.708350000000003</v>
      </c>
      <c r="E16" s="66">
        <v>2.60059</v>
      </c>
      <c r="F16" s="66">
        <v>28.195450000000001</v>
      </c>
      <c r="G16" s="66">
        <v>1.8553900000000001</v>
      </c>
      <c r="H16" s="46"/>
      <c r="I16" s="46">
        <f>F16-D16</f>
        <v>-10.512900000000002</v>
      </c>
      <c r="J16" s="15">
        <f>SQRT(G16*G16+E16*E16)</f>
        <v>3.1946111500775802</v>
      </c>
      <c r="K16" s="15">
        <f>I16/J16</f>
        <v>-3.2908230473510676</v>
      </c>
      <c r="L16" s="15">
        <f>IF(K16&gt;0,(1-NORMSDIST(K16)),(NORMSDIST(K16)))</f>
        <v>4.9947364697122123E-4</v>
      </c>
      <c r="M16" s="16" t="str">
        <f>IF(L16&lt;0.025,"Significativa","No significativa")</f>
        <v>Significativa</v>
      </c>
      <c r="O16" s="13" t="s">
        <v>13</v>
      </c>
      <c r="P16" s="66">
        <v>29.712329999999998</v>
      </c>
      <c r="Q16" s="66">
        <v>2.2252899999999998</v>
      </c>
      <c r="R16" s="66">
        <v>28.195450000000001</v>
      </c>
      <c r="S16" s="66">
        <v>1.8553900000000001</v>
      </c>
      <c r="T16" s="4"/>
      <c r="U16" s="14">
        <f>R16-P16</f>
        <v>-1.5168799999999969</v>
      </c>
      <c r="V16" s="15">
        <f>SQRT(S16*S16+Q16*Q16)</f>
        <v>2.897306962715549</v>
      </c>
      <c r="W16" s="15">
        <f>U16/V16</f>
        <v>-0.52354825343679701</v>
      </c>
      <c r="X16" s="15">
        <f>IF(W16&gt;0,(1-NORMSDIST(W16)),(NORMSDIST(W16)))</f>
        <v>0.30029639044536449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66">
        <v>15.904280000000002</v>
      </c>
      <c r="E17" s="66">
        <v>1.4550099999999999</v>
      </c>
      <c r="F17" s="66">
        <v>16.863630000000001</v>
      </c>
      <c r="G17" s="66">
        <v>1.16153</v>
      </c>
      <c r="H17" s="46"/>
      <c r="I17" s="46">
        <f>F17-D17</f>
        <v>0.95934999999999881</v>
      </c>
      <c r="J17" s="15">
        <f>SQRT(G17*G17+E17*E17)</f>
        <v>1.8617749705590092</v>
      </c>
      <c r="K17" s="15">
        <f>I17/J17</f>
        <v>0.51528783831052805</v>
      </c>
      <c r="L17" s="15">
        <f>IF(K17&gt;0,(1-NORMSDIST(K17)),(NORMSDIST(K17)))</f>
        <v>0.30317594807418902</v>
      </c>
      <c r="M17" s="16" t="str">
        <f>IF(L17&lt;0.025,"Significativa","No significativa")</f>
        <v>No significativa</v>
      </c>
      <c r="O17" s="13" t="s">
        <v>14</v>
      </c>
      <c r="P17" s="66">
        <v>15.045239999999998</v>
      </c>
      <c r="Q17" s="66">
        <v>1.20716</v>
      </c>
      <c r="R17" s="66">
        <v>16.863630000000001</v>
      </c>
      <c r="S17" s="66">
        <v>1.16153</v>
      </c>
      <c r="T17" s="4"/>
      <c r="U17" s="14">
        <f>R17-P17</f>
        <v>1.8183900000000026</v>
      </c>
      <c r="V17" s="15">
        <f>SQRT(S17*S17+Q17*Q17)</f>
        <v>1.6752275088775257</v>
      </c>
      <c r="W17" s="15">
        <f>U17/V17</f>
        <v>1.085458536445836</v>
      </c>
      <c r="X17" s="15">
        <f>IF(W17&gt;0,(1-NORMSDIST(W17)),(NORMSDIST(W17)))</f>
        <v>0.13885930924395851</v>
      </c>
      <c r="Y17" s="16" t="str">
        <f>IF(X17&lt;0.025,"Significativa","No significativa")</f>
        <v>No significativa</v>
      </c>
    </row>
    <row r="18" spans="3:25" ht="15" customHeight="1" x14ac:dyDescent="0.25">
      <c r="C18" s="13" t="s">
        <v>15</v>
      </c>
      <c r="D18" s="66">
        <v>1.47594</v>
      </c>
      <c r="E18" s="66">
        <v>0.21431000000000003</v>
      </c>
      <c r="F18" s="66">
        <v>2.6574899999999997</v>
      </c>
      <c r="G18" s="66">
        <v>0.36886000000000002</v>
      </c>
      <c r="H18" s="46"/>
      <c r="I18" s="46">
        <f>F18-D18</f>
        <v>1.1815499999999997</v>
      </c>
      <c r="J18" s="15">
        <f>SQRT(G18*G18+E18*E18)</f>
        <v>0.42659872913547225</v>
      </c>
      <c r="K18" s="15">
        <f>I18/J18</f>
        <v>2.7696988277355659</v>
      </c>
      <c r="L18" s="15">
        <f>IF(K18&gt;0,(1-NORMSDIST(K18)),(NORMSDIST(K18)))</f>
        <v>2.8054073618257735E-3</v>
      </c>
      <c r="M18" s="16" t="str">
        <f>IF(L18&lt;0.025,"Significativa","No significativa")</f>
        <v>Significativa</v>
      </c>
      <c r="O18" s="13" t="s">
        <v>15</v>
      </c>
      <c r="P18" s="66">
        <v>2.5048599999999999</v>
      </c>
      <c r="Q18" s="66">
        <v>0.37358000000000002</v>
      </c>
      <c r="R18" s="66">
        <v>2.6574899999999997</v>
      </c>
      <c r="S18" s="66">
        <v>0.36886000000000002</v>
      </c>
      <c r="T18" s="4"/>
      <c r="U18" s="14">
        <f>R18-P18</f>
        <v>0.15262999999999982</v>
      </c>
      <c r="V18" s="15">
        <f>SQRT(S18*S18+Q18*Q18)</f>
        <v>0.52499496759492847</v>
      </c>
      <c r="W18" s="15">
        <f>U18/V18</f>
        <v>0.29072659629332842</v>
      </c>
      <c r="X18" s="15">
        <f>IF(W18&gt;0,(1-NORMSDIST(W18)),(NORMSDIST(W18)))</f>
        <v>0.38563021443643808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66">
        <v>5.6081699999999994</v>
      </c>
      <c r="E19" s="66">
        <v>0.65327000000000002</v>
      </c>
      <c r="F19" s="66">
        <v>6.0442299999999998</v>
      </c>
      <c r="G19" s="66">
        <v>0.52305999999999997</v>
      </c>
      <c r="H19" s="46"/>
      <c r="I19" s="46">
        <f>F19-D19</f>
        <v>0.43606000000000034</v>
      </c>
      <c r="J19" s="15">
        <f>SQRT(G19*G19+E19*E19)</f>
        <v>0.83687123053669377</v>
      </c>
      <c r="K19" s="15">
        <f>I19/J19</f>
        <v>0.52105985256578935</v>
      </c>
      <c r="L19" s="15">
        <f>IF(K19&gt;0,(1-NORMSDIST(K19)),(NORMSDIST(K19)))</f>
        <v>0.30116253869247456</v>
      </c>
      <c r="M19" s="16" t="str">
        <f>IF(L19&lt;0.025,"Significativa","No significativa")</f>
        <v>No significativa</v>
      </c>
      <c r="O19" s="13" t="s">
        <v>16</v>
      </c>
      <c r="P19" s="66">
        <v>6.0388699999999993</v>
      </c>
      <c r="Q19" s="66">
        <v>0.60672000000000004</v>
      </c>
      <c r="R19" s="66">
        <v>6.0442299999999998</v>
      </c>
      <c r="S19" s="66">
        <v>0.52305999999999997</v>
      </c>
      <c r="T19" s="4"/>
      <c r="U19" s="14">
        <f>R19-P19</f>
        <v>5.3600000000004755E-3</v>
      </c>
      <c r="V19" s="15">
        <f>SQRT(S19*S19+Q19*Q19)</f>
        <v>0.8010623708551039</v>
      </c>
      <c r="W19" s="15">
        <f>U19/V19</f>
        <v>6.6911144437840431E-3</v>
      </c>
      <c r="X19" s="15">
        <f>IF(W19&gt;0,(1-NORMSDIST(W19)),(NORMSDIST(W19)))</f>
        <v>0.49733065146362421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I20" s="46"/>
      <c r="J20" s="15"/>
      <c r="K20" s="15"/>
      <c r="L20" s="15"/>
      <c r="M20" s="16"/>
      <c r="O20" s="17" t="s">
        <v>17</v>
      </c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66">
        <v>92.915880000000001</v>
      </c>
      <c r="E21" s="66">
        <v>0.67962</v>
      </c>
      <c r="F21" s="66">
        <v>91.298270000000002</v>
      </c>
      <c r="G21" s="66">
        <v>0.66520000000000001</v>
      </c>
      <c r="H21" s="46"/>
      <c r="I21" s="46">
        <f>F21-D21</f>
        <v>-1.6176099999999991</v>
      </c>
      <c r="J21" s="15">
        <f>SQRT(G21*G21+E21*E21)</f>
        <v>0.95098600641649822</v>
      </c>
      <c r="K21" s="15">
        <f>I21/J21</f>
        <v>-1.700981916753403</v>
      </c>
      <c r="L21" s="15">
        <f>IF(K21&gt;0,(1-NORMSDIST(K21)),(NORMSDIST(K21)))</f>
        <v>4.4473191442422219E-2</v>
      </c>
      <c r="M21" s="16" t="str">
        <f>IF(L21&lt;0.025,"Significativa","No significativa")</f>
        <v>No significativa</v>
      </c>
      <c r="O21" s="18" t="s">
        <v>18</v>
      </c>
      <c r="P21" s="66">
        <v>91.456269999999989</v>
      </c>
      <c r="Q21" s="66">
        <v>0.77126000000000006</v>
      </c>
      <c r="R21" s="66">
        <v>91.298270000000002</v>
      </c>
      <c r="S21" s="66">
        <v>0.66520000000000001</v>
      </c>
      <c r="T21" s="4"/>
      <c r="U21" s="14">
        <f>R21-P21</f>
        <v>-0.15799999999998704</v>
      </c>
      <c r="V21" s="15">
        <f>SQRT(S21*S21+Q21*Q21)</f>
        <v>1.0184954725476201</v>
      </c>
      <c r="W21" s="15">
        <f>U21/V21</f>
        <v>-0.15513078286423085</v>
      </c>
      <c r="X21" s="15">
        <f>IF(W21&gt;0,(1-NORMSDIST(W21)),(NORMSDIST(W21)))</f>
        <v>0.43835910736188072</v>
      </c>
      <c r="Y21" s="16" t="str">
        <f>IF(X21&lt;0.025,"Significativa","No significativa")</f>
        <v>No significativa</v>
      </c>
    </row>
    <row r="22" spans="3:25" x14ac:dyDescent="0.25">
      <c r="C22" s="18" t="s">
        <v>19</v>
      </c>
      <c r="D22" s="66">
        <v>61.911769999999997</v>
      </c>
      <c r="E22" s="66">
        <v>2.2611300000000001</v>
      </c>
      <c r="F22" s="66">
        <v>47.968299999999999</v>
      </c>
      <c r="G22" s="66">
        <v>1.6287699999999998</v>
      </c>
      <c r="H22" s="46"/>
      <c r="I22" s="46">
        <f>F22-D22</f>
        <v>-13.943469999999998</v>
      </c>
      <c r="J22" s="15">
        <f>SQRT(G22*G22+E22*E22)</f>
        <v>2.786682721409095</v>
      </c>
      <c r="K22" s="15">
        <f>I22/J22</f>
        <v>-5.003608732661692</v>
      </c>
      <c r="L22" s="15">
        <f>IF(K22&gt;0,(1-NORMSDIST(K22)),(NORMSDIST(K22)))</f>
        <v>2.8133452396812778E-7</v>
      </c>
      <c r="M22" s="16" t="str">
        <f>IF(L22&lt;0.025,"Significativa","No significativa")</f>
        <v>Significativa</v>
      </c>
      <c r="O22" s="18" t="s">
        <v>19</v>
      </c>
      <c r="P22" s="66">
        <v>43.306260000000002</v>
      </c>
      <c r="Q22" s="66">
        <v>2.0311599999999999</v>
      </c>
      <c r="R22" s="66">
        <v>47.968299999999999</v>
      </c>
      <c r="S22" s="66">
        <v>1.6287699999999998</v>
      </c>
      <c r="T22" s="4"/>
      <c r="U22" s="14">
        <f>R22-P22</f>
        <v>4.6620399999999975</v>
      </c>
      <c r="V22" s="15">
        <f>SQRT(S22*S22+Q22*Q22)</f>
        <v>2.6035557721124389</v>
      </c>
      <c r="W22" s="15">
        <f>U22/V22</f>
        <v>1.7906434154154387</v>
      </c>
      <c r="X22" s="15">
        <f>IF(W22&gt;0,(1-NORMSDIST(W22)),(NORMSDIST(W22)))</f>
        <v>3.6675267671647416E-2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I23" s="46"/>
      <c r="J23" s="15"/>
      <c r="K23" s="15"/>
      <c r="L23" s="15"/>
      <c r="M23" s="16"/>
      <c r="O23" s="19" t="s">
        <v>20</v>
      </c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66">
        <v>37.971700000000006</v>
      </c>
      <c r="E24" s="66">
        <v>1.4919500000000001</v>
      </c>
      <c r="F24" s="66">
        <v>29.52167</v>
      </c>
      <c r="G24" s="66">
        <v>0.95233000000000001</v>
      </c>
      <c r="H24" s="46"/>
      <c r="I24" s="46">
        <f>F24-D24</f>
        <v>-8.4500300000000053</v>
      </c>
      <c r="J24" s="15">
        <f>SQRT(G24*G24+E24*E24)</f>
        <v>1.7699850935530503</v>
      </c>
      <c r="K24" s="15">
        <f>I24/J24</f>
        <v>-4.7740684544622347</v>
      </c>
      <c r="L24" s="15">
        <f>IF(K24&gt;0,(1-NORMSDIST(K24)),(NORMSDIST(K24)))</f>
        <v>9.02704845677736E-7</v>
      </c>
      <c r="M24" s="16" t="str">
        <f>IF(L24&lt;0.025,"Significativa","No significativa")</f>
        <v>Significativa</v>
      </c>
      <c r="O24" s="20" t="s">
        <v>21</v>
      </c>
      <c r="P24" s="66">
        <v>29.19041</v>
      </c>
      <c r="Q24" s="66">
        <v>1.18363</v>
      </c>
      <c r="R24" s="66">
        <v>29.52167</v>
      </c>
      <c r="S24" s="66">
        <v>0.95233000000000001</v>
      </c>
      <c r="T24" s="4"/>
      <c r="U24" s="14">
        <f>R24-P24</f>
        <v>0.33126000000000033</v>
      </c>
      <c r="V24" s="15">
        <f>SQRT(S24*S24+Q24*Q24)</f>
        <v>1.5191814920541915</v>
      </c>
      <c r="W24" s="15">
        <f>U24/V24</f>
        <v>0.21805162959962113</v>
      </c>
      <c r="X24" s="15">
        <f>IF(W24&gt;0,(1-NORMSDIST(W24)),(NORMSDIST(W24)))</f>
        <v>0.41369444225808993</v>
      </c>
      <c r="Y24" s="16" t="str">
        <f>IF(X24&lt;0.025,"Significativa","No significativa")</f>
        <v>No significativa</v>
      </c>
    </row>
    <row r="25" spans="3:25" x14ac:dyDescent="0.25">
      <c r="C25" s="18" t="s">
        <v>22</v>
      </c>
      <c r="D25" s="66">
        <v>51.122279999999996</v>
      </c>
      <c r="E25" s="66">
        <v>2.4962399999999998</v>
      </c>
      <c r="F25" s="66">
        <v>37.092979999999997</v>
      </c>
      <c r="G25" s="66">
        <v>1.38476</v>
      </c>
      <c r="H25" s="46"/>
      <c r="I25" s="46">
        <f>F25-D25</f>
        <v>-14.029299999999999</v>
      </c>
      <c r="J25" s="15">
        <f>SQRT(G25*G25+E25*E25)</f>
        <v>2.8546058213350576</v>
      </c>
      <c r="K25" s="15">
        <f>I25/J25</f>
        <v>-4.9146189975324512</v>
      </c>
      <c r="L25" s="15">
        <f>IF(K25&gt;0,(1-NORMSDIST(K25)),(NORMSDIST(K25)))</f>
        <v>4.4477640922524558E-7</v>
      </c>
      <c r="M25" s="16" t="str">
        <f>IF(L25&lt;0.025,"Significativa","No significativa")</f>
        <v>Significativa</v>
      </c>
      <c r="O25" s="18" t="s">
        <v>22</v>
      </c>
      <c r="P25" s="66">
        <v>17.59225</v>
      </c>
      <c r="Q25" s="66">
        <v>1.0121399999999998</v>
      </c>
      <c r="R25" s="66">
        <v>37.092979999999997</v>
      </c>
      <c r="S25" s="66">
        <v>1.38476</v>
      </c>
      <c r="T25" s="4"/>
      <c r="U25" s="14">
        <f>R25-P25</f>
        <v>19.500729999999997</v>
      </c>
      <c r="V25" s="15">
        <f>SQRT(S25*S25+Q25*Q25)</f>
        <v>1.715222328795891</v>
      </c>
      <c r="W25" s="15">
        <f>U25/V25</f>
        <v>11.369214166941129</v>
      </c>
      <c r="X25" s="15">
        <f>IF(W25&gt;0,(1-NORMSDIST(W25)),(NORMSDIST(W25)))</f>
        <v>0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66">
        <v>85.422560000000004</v>
      </c>
      <c r="E26" s="66">
        <v>1.1003400000000001</v>
      </c>
      <c r="F26" s="66">
        <v>79.950060000000008</v>
      </c>
      <c r="G26" s="66">
        <v>1.0465599999999999</v>
      </c>
      <c r="H26" s="46"/>
      <c r="I26" s="46">
        <f>F26-D26</f>
        <v>-5.4724999999999966</v>
      </c>
      <c r="J26" s="15">
        <f>SQRT(G26*G26+E26*E26)</f>
        <v>1.5185637784433026</v>
      </c>
      <c r="K26" s="15">
        <f>I26/J26</f>
        <v>-3.6037340529812454</v>
      </c>
      <c r="L26" s="15">
        <f>IF(K26&gt;0,(1-NORMSDIST(K26)),(NORMSDIST(K26)))</f>
        <v>1.568390099187887E-4</v>
      </c>
      <c r="M26" s="16" t="str">
        <f>IF(L26&lt;0.025,"Significativa","No significativa")</f>
        <v>Significativa</v>
      </c>
      <c r="O26" s="18" t="s">
        <v>23</v>
      </c>
      <c r="P26" s="66">
        <v>83.602770000000007</v>
      </c>
      <c r="Q26" s="66">
        <v>1.06928</v>
      </c>
      <c r="R26" s="66">
        <v>79.950060000000008</v>
      </c>
      <c r="S26" s="66">
        <v>1.0465599999999999</v>
      </c>
      <c r="T26" s="4"/>
      <c r="U26" s="14">
        <f>R26-P26</f>
        <v>-3.652709999999999</v>
      </c>
      <c r="V26" s="15">
        <f>SQRT(S26*S26+Q26*Q26)</f>
        <v>1.4962110653246754</v>
      </c>
      <c r="W26" s="15">
        <f>U26/V26</f>
        <v>-2.4413066342397132</v>
      </c>
      <c r="X26" s="15">
        <f>IF(W26&gt;0,(1-NORMSDIST(W26)),(NORMSDIST(W26)))</f>
        <v>7.3171115341630934E-3</v>
      </c>
      <c r="Y26" s="16" t="str">
        <f>IF(X26&lt;0.025,"Significativa","No significativa")</f>
        <v>Significativa</v>
      </c>
    </row>
    <row r="27" spans="3:25" x14ac:dyDescent="0.25">
      <c r="C27" s="18" t="s">
        <v>24</v>
      </c>
      <c r="D27" s="66">
        <v>38.352249999999998</v>
      </c>
      <c r="E27" s="66">
        <v>2.8612500000000001</v>
      </c>
      <c r="F27" s="66">
        <v>20.005580000000002</v>
      </c>
      <c r="G27" s="66">
        <v>1.6082099999999999</v>
      </c>
      <c r="H27" s="46"/>
      <c r="I27" s="46">
        <f>F27-D27</f>
        <v>-18.346669999999996</v>
      </c>
      <c r="J27" s="15">
        <f>SQRT(G27*G27+E27*E27)</f>
        <v>3.2822387126167407</v>
      </c>
      <c r="K27" s="15">
        <f>I27/J27</f>
        <v>-5.5896818014717908</v>
      </c>
      <c r="L27" s="15">
        <f>IF(K27&gt;0,(1-NORMSDIST(K27)),(NORMSDIST(K27)))</f>
        <v>1.137430421978634E-8</v>
      </c>
      <c r="M27" s="16" t="str">
        <f>IF(L27&lt;0.025,"Significativa","No significativa")</f>
        <v>Significativa</v>
      </c>
      <c r="O27" s="18" t="s">
        <v>24</v>
      </c>
      <c r="P27" s="66">
        <v>23.585639999999998</v>
      </c>
      <c r="Q27" s="66">
        <v>2.09206</v>
      </c>
      <c r="R27" s="66">
        <v>20.005580000000002</v>
      </c>
      <c r="S27" s="66">
        <v>1.6082099999999999</v>
      </c>
      <c r="T27" s="4"/>
      <c r="U27" s="14">
        <f>R27-P27</f>
        <v>-3.580059999999996</v>
      </c>
      <c r="V27" s="15">
        <f>SQRT(S27*S27+Q27*Q27)</f>
        <v>2.6387600208620712</v>
      </c>
      <c r="W27" s="15">
        <f>U27/V27</f>
        <v>-1.3567205701526455</v>
      </c>
      <c r="X27" s="15">
        <f>IF(W27&gt;0,(1-NORMSDIST(W27)),(NORMSDIST(W27)))</f>
        <v>8.7435006960827677E-2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66">
        <v>53.161809999999996</v>
      </c>
      <c r="E28" s="66">
        <v>2.64514</v>
      </c>
      <c r="F28" s="66">
        <v>55.845120000000001</v>
      </c>
      <c r="G28" s="66">
        <v>2.2135899999999999</v>
      </c>
      <c r="H28" s="46"/>
      <c r="I28" s="46">
        <f>F28-D28</f>
        <v>2.6833100000000059</v>
      </c>
      <c r="J28" s="15">
        <f>SQRT(G28*G28+E28*E28)</f>
        <v>3.449166030752941</v>
      </c>
      <c r="K28" s="15">
        <f>I28/J28</f>
        <v>0.7779590707073758</v>
      </c>
      <c r="L28" s="15">
        <f>IF(K28&gt;0,(1-NORMSDIST(K28)),(NORMSDIST(K28)))</f>
        <v>0.21829657127771462</v>
      </c>
      <c r="M28" s="16" t="str">
        <f>IF(L28&lt;0.025,"Significativa","No significativa")</f>
        <v>No significativa</v>
      </c>
      <c r="O28" s="18" t="s">
        <v>25</v>
      </c>
      <c r="P28" s="66">
        <v>57.11103</v>
      </c>
      <c r="Q28" s="66">
        <v>2.5605899999999999</v>
      </c>
      <c r="R28" s="66">
        <v>55.845120000000001</v>
      </c>
      <c r="S28" s="66">
        <v>2.2135899999999999</v>
      </c>
      <c r="T28" s="4"/>
      <c r="U28" s="14">
        <f>R28-P28</f>
        <v>-1.2659099999999981</v>
      </c>
      <c r="V28" s="15">
        <f>SQRT(S28*S28+Q28*Q28)</f>
        <v>3.384760233192301</v>
      </c>
      <c r="W28" s="15">
        <f>U28/V28</f>
        <v>-0.3740028577463132</v>
      </c>
      <c r="X28" s="15">
        <f>IF(W28&gt;0,(1-NORMSDIST(W28)),(NORMSDIST(W28)))</f>
        <v>0.35420109502569996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66">
        <v>26.206190000000003</v>
      </c>
      <c r="E29" s="66">
        <v>2.7447400000000002</v>
      </c>
      <c r="F29" s="66">
        <v>21.12349</v>
      </c>
      <c r="G29" s="66">
        <v>1.3385199999999999</v>
      </c>
      <c r="H29" s="46"/>
      <c r="I29" s="46">
        <f>F29-D29</f>
        <v>-5.0827000000000027</v>
      </c>
      <c r="J29" s="15">
        <f>SQRT(G29*G29+E29*E29)</f>
        <v>3.0537245222842224</v>
      </c>
      <c r="K29" s="15">
        <f>I29/J29</f>
        <v>-1.6644264939124509</v>
      </c>
      <c r="L29" s="15">
        <f>IF(K29&gt;0,(1-NORMSDIST(K29)),(NORMSDIST(K29)))</f>
        <v>4.8013614591358493E-2</v>
      </c>
      <c r="M29" s="16" t="str">
        <f>IF(L29&lt;0.025,"Significativa","No significativa")</f>
        <v>No significativa</v>
      </c>
      <c r="O29" s="18" t="s">
        <v>26</v>
      </c>
      <c r="P29" s="66">
        <v>22.343170000000001</v>
      </c>
      <c r="Q29" s="66">
        <v>1.74224</v>
      </c>
      <c r="R29" s="66">
        <v>21.12349</v>
      </c>
      <c r="S29" s="66">
        <v>1.3385199999999999</v>
      </c>
      <c r="T29" s="4"/>
      <c r="U29" s="14">
        <f>R29-P29</f>
        <v>-1.2196800000000003</v>
      </c>
      <c r="V29" s="15">
        <f>SQRT(S29*S29+Q29*Q29)</f>
        <v>2.1970516625696357</v>
      </c>
      <c r="W29" s="15">
        <f>U29/V29</f>
        <v>-0.55514397807718485</v>
      </c>
      <c r="X29" s="15">
        <f>IF(W29&gt;0,(1-NORMSDIST(W29)),(NORMSDIST(W29)))</f>
        <v>0.28939809200708599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I30" s="46"/>
      <c r="J30" s="15"/>
      <c r="K30" s="15"/>
      <c r="L30" s="15"/>
      <c r="M30" s="16"/>
      <c r="O30" s="8" t="s">
        <v>27</v>
      </c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66">
        <v>48.227340000000005</v>
      </c>
      <c r="E31" s="66">
        <v>2.6118299999999999</v>
      </c>
      <c r="F31" s="66">
        <v>45.198909999999998</v>
      </c>
      <c r="G31" s="66">
        <v>2.4142799999999998</v>
      </c>
      <c r="H31" s="46"/>
      <c r="I31" s="46">
        <f>F31-D31</f>
        <v>-3.0284300000000073</v>
      </c>
      <c r="J31" s="15">
        <f>SQRT(G31*G31+E31*E31)</f>
        <v>3.556740624124846</v>
      </c>
      <c r="K31" s="15">
        <f>I31/J31</f>
        <v>-0.85146214471154125</v>
      </c>
      <c r="L31" s="15">
        <f>IF(K31&gt;0,(1-NORMSDIST(K31)),(NORMSDIST(K31)))</f>
        <v>0.19725634160690603</v>
      </c>
      <c r="M31" s="16" t="str">
        <f>IF(L31&lt;0.025,"Significativa","No significativa")</f>
        <v>No significativa</v>
      </c>
      <c r="O31" s="21" t="s">
        <v>28</v>
      </c>
      <c r="P31" s="66">
        <v>50.702849999999998</v>
      </c>
      <c r="Q31" s="66">
        <v>2.2871600000000001</v>
      </c>
      <c r="R31" s="66">
        <v>45.198909999999998</v>
      </c>
      <c r="S31" s="66">
        <v>2.4142799999999998</v>
      </c>
      <c r="T31" s="22"/>
      <c r="U31" s="14">
        <f>R31-P31</f>
        <v>-5.5039400000000001</v>
      </c>
      <c r="V31" s="15">
        <f>SQRT(S31*S31+Q31*Q31)</f>
        <v>3.3256350948352709</v>
      </c>
      <c r="W31" s="15">
        <f>U31/V31</f>
        <v>-1.6550041850796102</v>
      </c>
      <c r="X31" s="15">
        <f>IF(W31&gt;0,(1-NORMSDIST(W31)),(NORMSDIST(W31)))</f>
        <v>4.896182449016602E-2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65">
        <v>78.487539999999996</v>
      </c>
      <c r="E32" s="65">
        <v>1.8126599999999999</v>
      </c>
      <c r="F32" s="65">
        <v>77.092140000000001</v>
      </c>
      <c r="G32" s="65">
        <v>1.38</v>
      </c>
      <c r="H32" s="30"/>
      <c r="I32" s="30">
        <f>F32-D32</f>
        <v>-1.3953999999999951</v>
      </c>
      <c r="J32" s="25">
        <f>SQRT(G32*G32+E32*E32)</f>
        <v>2.2781870589571875</v>
      </c>
      <c r="K32" s="25">
        <f>I32/J32</f>
        <v>-0.61250457661660251</v>
      </c>
      <c r="L32" s="25">
        <f>IF(K32&gt;0,(1-NORMSDIST(K32)),(NORMSDIST(K32)))</f>
        <v>0.27010198547538022</v>
      </c>
      <c r="M32" s="26" t="str">
        <f>IF(L32&lt;0.025,"Significativa","No significativa")</f>
        <v>No significativa</v>
      </c>
      <c r="O32" s="23" t="s">
        <v>29</v>
      </c>
      <c r="P32" s="65">
        <v>78.915890000000005</v>
      </c>
      <c r="Q32" s="65">
        <v>1.5087299999999999</v>
      </c>
      <c r="R32" s="65">
        <v>77.092140000000001</v>
      </c>
      <c r="S32" s="65">
        <v>1.38</v>
      </c>
      <c r="T32" s="24"/>
      <c r="U32" s="32">
        <f>R32-P32</f>
        <v>-1.823750000000004</v>
      </c>
      <c r="V32" s="25">
        <f>SQRT(S32*S32+Q32*Q32)</f>
        <v>2.0446677512251226</v>
      </c>
      <c r="W32" s="25">
        <f>U32/V32</f>
        <v>-0.89195420571740847</v>
      </c>
      <c r="X32" s="25">
        <f>IF(W32&gt;0,(1-NORMSDIST(W32)),(NORMSDIST(W32)))</f>
        <v>0.18620873928839479</v>
      </c>
      <c r="Y32" s="26" t="str">
        <f>IF(X32&lt;0.025,"Significativa","No significativa")</f>
        <v>No 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58A4-2FBF-4726-8BD7-2980C32C8FFF}">
  <dimension ref="A4:Y34"/>
  <sheetViews>
    <sheetView zoomScaleNormal="100" workbookViewId="0">
      <selection activeCell="O5" sqref="O5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83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82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63">
        <v>32.071300000000001</v>
      </c>
      <c r="E14" s="63">
        <v>1.9249700000000001</v>
      </c>
      <c r="F14" s="63">
        <v>25.499610000000001</v>
      </c>
      <c r="G14" s="63">
        <v>0.91661999999999999</v>
      </c>
      <c r="H14" s="46"/>
      <c r="I14" s="46">
        <f>F14-D14</f>
        <v>-6.5716900000000003</v>
      </c>
      <c r="J14" s="15">
        <f>SQRT(G14*G14+E14*E14)</f>
        <v>2.1320651315801777</v>
      </c>
      <c r="K14" s="15">
        <f>I14/J14</f>
        <v>-3.0823120282115393</v>
      </c>
      <c r="L14" s="15">
        <f>IF(K14&gt;0,(1-NORMSDIST(K14)),(NORMSDIST(K14)))</f>
        <v>1.0269970441482671E-3</v>
      </c>
      <c r="M14" s="16" t="str">
        <f>IF(L14&lt;0.025,"Significativa","No significativa")</f>
        <v>Significativa</v>
      </c>
      <c r="O14" s="13" t="s">
        <v>11</v>
      </c>
      <c r="P14" s="63">
        <v>26.280730000000002</v>
      </c>
      <c r="Q14" s="63">
        <v>0.98981999999999992</v>
      </c>
      <c r="R14" s="63">
        <v>25.499610000000001</v>
      </c>
      <c r="S14" s="63">
        <v>0.91661999999999999</v>
      </c>
      <c r="T14" s="4"/>
      <c r="U14" s="14">
        <f>R14-P14</f>
        <v>-0.78112000000000137</v>
      </c>
      <c r="V14" s="15">
        <f>SQRT(S14*S14+Q14*Q14)</f>
        <v>1.3490499830621547</v>
      </c>
      <c r="W14" s="15">
        <f>U14/V14</f>
        <v>-0.57901486958027182</v>
      </c>
      <c r="X14" s="15">
        <f>IF(W14&gt;0,(1-NORMSDIST(W14)),(NORMSDIST(W14)))</f>
        <v>0.28128956997831611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63">
        <v>25.380669999999999</v>
      </c>
      <c r="E15" s="63">
        <v>1.3241100000000001</v>
      </c>
      <c r="F15" s="63">
        <v>22.333670000000001</v>
      </c>
      <c r="G15" s="63">
        <v>0.76048000000000004</v>
      </c>
      <c r="H15" s="46"/>
      <c r="I15" s="46">
        <f>F15-D15</f>
        <v>-3.046999999999997</v>
      </c>
      <c r="J15" s="15">
        <f>SQRT(G15*G15+E15*E15)</f>
        <v>1.5269568174968147</v>
      </c>
      <c r="K15" s="15">
        <f>I15/J15</f>
        <v>-1.9954722786431078</v>
      </c>
      <c r="L15" s="15">
        <f>IF(K15&gt;0,(1-NORMSDIST(K15)),(NORMSDIST(K15)))</f>
        <v>2.2995697336821355E-2</v>
      </c>
      <c r="M15" s="16" t="str">
        <f>IF(L15&lt;0.025,"Significativa","No significativa")</f>
        <v>Significativa</v>
      </c>
      <c r="O15" s="13" t="s">
        <v>12</v>
      </c>
      <c r="P15" s="63">
        <v>23.671870000000002</v>
      </c>
      <c r="Q15" s="63">
        <v>0.89552999999999994</v>
      </c>
      <c r="R15" s="63">
        <v>22.333670000000001</v>
      </c>
      <c r="S15" s="63">
        <v>0.76048000000000004</v>
      </c>
      <c r="T15" s="4"/>
      <c r="U15" s="14">
        <f>R15-P15</f>
        <v>-1.3382000000000005</v>
      </c>
      <c r="V15" s="15">
        <f>SQRT(S15*S15+Q15*Q15)</f>
        <v>1.1748633160074409</v>
      </c>
      <c r="W15" s="15">
        <f>U15/V15</f>
        <v>-1.1390261162869819</v>
      </c>
      <c r="X15" s="15">
        <f>IF(W15&gt;0,(1-NORMSDIST(W15)),(NORMSDIST(W15)))</f>
        <v>0.12734613075097981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63">
        <v>6.69062</v>
      </c>
      <c r="E16" s="63">
        <v>1.46811</v>
      </c>
      <c r="F16" s="63">
        <v>3.1659399999999995</v>
      </c>
      <c r="G16" s="63">
        <v>0.41716000000000003</v>
      </c>
      <c r="H16" s="46"/>
      <c r="I16" s="46">
        <f>F16-D16</f>
        <v>-3.5246800000000005</v>
      </c>
      <c r="J16" s="15">
        <f>SQRT(G16*G16+E16*E16)</f>
        <v>1.5262271907222726</v>
      </c>
      <c r="K16" s="15">
        <f>I16/J16</f>
        <v>-2.309407158662911</v>
      </c>
      <c r="L16" s="15">
        <f>IF(K16&gt;0,(1-NORMSDIST(K16)),(NORMSDIST(K16)))</f>
        <v>1.0460499080381198E-2</v>
      </c>
      <c r="M16" s="16" t="str">
        <f>IF(L16&lt;0.025,"Significativa","No significativa")</f>
        <v>Significativa</v>
      </c>
      <c r="O16" s="13" t="s">
        <v>13</v>
      </c>
      <c r="P16" s="63">
        <v>2.60886</v>
      </c>
      <c r="Q16" s="63">
        <v>0.32561000000000001</v>
      </c>
      <c r="R16" s="63">
        <v>3.1659399999999995</v>
      </c>
      <c r="S16" s="63">
        <v>0.41716000000000003</v>
      </c>
      <c r="T16" s="4"/>
      <c r="U16" s="14">
        <f>R16-P16</f>
        <v>0.55707999999999958</v>
      </c>
      <c r="V16" s="15">
        <f>SQRT(S16*S16+Q16*Q16)</f>
        <v>0.52919215574307221</v>
      </c>
      <c r="W16" s="15">
        <f>U16/V16</f>
        <v>1.0526988995476856</v>
      </c>
      <c r="X16" s="15">
        <f>IF(W16&gt;0,(1-NORMSDIST(W16)),(NORMSDIST(W16)))</f>
        <v>0.14623950659155349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63">
        <v>34.578140000000005</v>
      </c>
      <c r="E17" s="63">
        <v>1.51502</v>
      </c>
      <c r="F17" s="63">
        <v>28.498459999999998</v>
      </c>
      <c r="G17" s="63">
        <v>0.87309999999999988</v>
      </c>
      <c r="H17" s="46"/>
      <c r="I17" s="46">
        <f>F17-D17</f>
        <v>-6.0796800000000069</v>
      </c>
      <c r="J17" s="15">
        <f>SQRT(G17*G17+E17*E17)</f>
        <v>1.7485963543368148</v>
      </c>
      <c r="K17" s="15">
        <f>I17/J17</f>
        <v>-3.4768916136199026</v>
      </c>
      <c r="L17" s="15">
        <f>IF(K17&gt;0,(1-NORMSDIST(K17)),(NORMSDIST(K17)))</f>
        <v>2.5363141706202265E-4</v>
      </c>
      <c r="M17" s="16" t="str">
        <f>IF(L17&lt;0.025,"Significativa","No significativa")</f>
        <v>Significativa</v>
      </c>
      <c r="O17" s="13" t="s">
        <v>14</v>
      </c>
      <c r="P17" s="63">
        <v>32.098080000000003</v>
      </c>
      <c r="Q17" s="63">
        <v>0.95670000000000011</v>
      </c>
      <c r="R17" s="63">
        <v>28.498459999999998</v>
      </c>
      <c r="S17" s="63">
        <v>0.87309999999999988</v>
      </c>
      <c r="T17" s="4"/>
      <c r="U17" s="14">
        <f>R17-P17</f>
        <v>-3.5996200000000051</v>
      </c>
      <c r="V17" s="15">
        <f>SQRT(S17*S17+Q17*Q17)</f>
        <v>1.29521368893322</v>
      </c>
      <c r="W17" s="15">
        <f>U17/V17</f>
        <v>-2.7791707505537322</v>
      </c>
      <c r="X17" s="15">
        <f>IF(W17&gt;0,(1-NORMSDIST(W17)),(NORMSDIST(W17)))</f>
        <v>2.7248934882357777E-3</v>
      </c>
      <c r="Y17" s="16" t="str">
        <f>IF(X17&lt;0.025,"Significativa","No significativa")</f>
        <v>Significativa</v>
      </c>
    </row>
    <row r="18" spans="3:25" ht="15" customHeight="1" x14ac:dyDescent="0.25">
      <c r="C18" s="13" t="s">
        <v>15</v>
      </c>
      <c r="D18" s="63">
        <v>7.3196599999999998</v>
      </c>
      <c r="E18" s="63">
        <v>0.63192999999999999</v>
      </c>
      <c r="F18" s="63">
        <v>10.73756</v>
      </c>
      <c r="G18" s="63">
        <v>0.55906</v>
      </c>
      <c r="H18" s="46"/>
      <c r="I18" s="46">
        <f>F18-D18</f>
        <v>3.4179000000000004</v>
      </c>
      <c r="J18" s="15">
        <f>SQRT(G18*G18+E18*E18)</f>
        <v>0.84373195299218107</v>
      </c>
      <c r="K18" s="15">
        <f>I18/J18</f>
        <v>4.0509310899971025</v>
      </c>
      <c r="L18" s="15">
        <f>IF(K18&gt;0,(1-NORMSDIST(K18)),(NORMSDIST(K18)))</f>
        <v>2.550711541904338E-5</v>
      </c>
      <c r="M18" s="16" t="str">
        <f>IF(L18&lt;0.025,"Significativa","No significativa")</f>
        <v>Significativa</v>
      </c>
      <c r="O18" s="13" t="s">
        <v>15</v>
      </c>
      <c r="P18" s="63">
        <v>10.24114</v>
      </c>
      <c r="Q18" s="63">
        <v>0.67532999999999999</v>
      </c>
      <c r="R18" s="63">
        <v>10.73756</v>
      </c>
      <c r="S18" s="63">
        <v>0.55906</v>
      </c>
      <c r="T18" s="4"/>
      <c r="U18" s="14">
        <f>R18-P18</f>
        <v>0.49642000000000053</v>
      </c>
      <c r="V18" s="15">
        <f>SQRT(S18*S18+Q18*Q18)</f>
        <v>0.87670901244369559</v>
      </c>
      <c r="W18" s="15">
        <f>U18/V18</f>
        <v>0.56623120437225094</v>
      </c>
      <c r="X18" s="15">
        <f>IF(W18&gt;0,(1-NORMSDIST(W18)),(NORMSDIST(W18)))</f>
        <v>0.28561831003359306</v>
      </c>
      <c r="Y18" s="16" t="str">
        <f>IF(X18&lt;0.025,"Significativa","No significativa")</f>
        <v>No significativa</v>
      </c>
    </row>
    <row r="19" spans="3:25" ht="15" customHeight="1" x14ac:dyDescent="0.25">
      <c r="C19" s="13" t="s">
        <v>16</v>
      </c>
      <c r="D19" s="63">
        <v>26.030900000000003</v>
      </c>
      <c r="E19" s="63">
        <v>1.3389899999999999</v>
      </c>
      <c r="F19" s="63">
        <v>35.26437</v>
      </c>
      <c r="G19" s="63">
        <v>0.98148000000000002</v>
      </c>
      <c r="H19" s="46"/>
      <c r="I19" s="46">
        <f>F19-D19</f>
        <v>9.233469999999997</v>
      </c>
      <c r="J19" s="15">
        <f>SQRT(G19*G19+E19*E19)</f>
        <v>1.66017987293546</v>
      </c>
      <c r="K19" s="15">
        <f>I19/J19</f>
        <v>5.5617286720105605</v>
      </c>
      <c r="L19" s="15">
        <f>IF(K19&gt;0,(1-NORMSDIST(K19)),(NORMSDIST(K19)))</f>
        <v>1.3355768491152276E-8</v>
      </c>
      <c r="M19" s="16" t="str">
        <f>IF(L19&lt;0.025,"Significativa","No significativa")</f>
        <v>Significativa</v>
      </c>
      <c r="O19" s="13" t="s">
        <v>16</v>
      </c>
      <c r="P19" s="63">
        <v>31.380049999999997</v>
      </c>
      <c r="Q19" s="63">
        <v>0.9242800000000001</v>
      </c>
      <c r="R19" s="63">
        <v>35.26437</v>
      </c>
      <c r="S19" s="63">
        <v>0.98148000000000002</v>
      </c>
      <c r="T19" s="4"/>
      <c r="U19" s="14">
        <f>R19-P19</f>
        <v>3.8843200000000024</v>
      </c>
      <c r="V19" s="15">
        <f>SQRT(S19*S19+Q19*Q19)</f>
        <v>1.3481826689288068</v>
      </c>
      <c r="W19" s="15">
        <f>U19/V19</f>
        <v>2.8811525986209818</v>
      </c>
      <c r="X19" s="15">
        <f>IF(W19&gt;0,(1-NORMSDIST(W19)),(NORMSDIST(W19)))</f>
        <v>1.9811187838846278E-3</v>
      </c>
      <c r="Y19" s="16" t="str">
        <f>IF(X19&lt;0.025,"Significativa","No significativa")</f>
        <v>Significativa</v>
      </c>
    </row>
    <row r="20" spans="3:25" ht="15" customHeight="1" x14ac:dyDescent="0.25">
      <c r="C20" s="17" t="s">
        <v>17</v>
      </c>
      <c r="D20" s="64"/>
      <c r="E20" s="64"/>
      <c r="F20" s="64"/>
      <c r="G20" s="64"/>
      <c r="I20" s="46"/>
      <c r="J20" s="15"/>
      <c r="K20" s="15"/>
      <c r="L20" s="15"/>
      <c r="M20" s="16"/>
      <c r="O20" s="17" t="s">
        <v>17</v>
      </c>
      <c r="P20" s="64"/>
      <c r="Q20" s="64"/>
      <c r="R20" s="64"/>
      <c r="S20" s="64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63">
        <v>66.649439999999998</v>
      </c>
      <c r="E21" s="63">
        <v>1.3104499999999999</v>
      </c>
      <c r="F21" s="63">
        <v>53.998069999999998</v>
      </c>
      <c r="G21" s="63">
        <v>0.91573000000000004</v>
      </c>
      <c r="H21" s="46"/>
      <c r="I21" s="46">
        <f>F21-D21</f>
        <v>-12.65137</v>
      </c>
      <c r="J21" s="15">
        <f>SQRT(G21*G21+E21*E21)</f>
        <v>1.5986996701694787</v>
      </c>
      <c r="K21" s="15">
        <f>I21/J21</f>
        <v>-7.9135376306538072</v>
      </c>
      <c r="L21" s="15">
        <f>IF(K21&gt;0,(1-NORMSDIST(K21)),(NORMSDIST(K21)))</f>
        <v>1.2508808653805202E-15</v>
      </c>
      <c r="M21" s="16" t="str">
        <f>IF(L21&lt;0.025,"Significativa","No significativa")</f>
        <v>Significativa</v>
      </c>
      <c r="O21" s="18" t="s">
        <v>18</v>
      </c>
      <c r="P21" s="63">
        <v>58.378810000000001</v>
      </c>
      <c r="Q21" s="63">
        <v>0.93798000000000004</v>
      </c>
      <c r="R21" s="63">
        <v>53.998069999999998</v>
      </c>
      <c r="S21" s="63">
        <v>0.91573000000000004</v>
      </c>
      <c r="T21" s="4"/>
      <c r="U21" s="14">
        <f>R21-P21</f>
        <v>-4.380740000000003</v>
      </c>
      <c r="V21" s="15">
        <f>SQRT(S21*S21+Q21*Q21)</f>
        <v>1.3108653299633797</v>
      </c>
      <c r="W21" s="15">
        <f>U21/V21</f>
        <v>-3.3418688402739152</v>
      </c>
      <c r="X21" s="15">
        <f>IF(W21&gt;0,(1-NORMSDIST(W21)),(NORMSDIST(W21)))</f>
        <v>4.1608186400963809E-4</v>
      </c>
      <c r="Y21" s="16" t="str">
        <f>IF(X21&lt;0.025,"Significativa","No significativa")</f>
        <v>Significativa</v>
      </c>
    </row>
    <row r="22" spans="3:25" x14ac:dyDescent="0.25">
      <c r="C22" s="18" t="s">
        <v>19</v>
      </c>
      <c r="D22" s="63">
        <v>20.264950000000002</v>
      </c>
      <c r="E22" s="63">
        <v>1.8186100000000001</v>
      </c>
      <c r="F22" s="63">
        <v>9.3819700000000008</v>
      </c>
      <c r="G22" s="63">
        <v>0.70709</v>
      </c>
      <c r="H22" s="46"/>
      <c r="I22" s="46">
        <f>F22-D22</f>
        <v>-10.882980000000002</v>
      </c>
      <c r="J22" s="15">
        <f>SQRT(G22*G22+E22*E22)</f>
        <v>1.9512351473361689</v>
      </c>
      <c r="K22" s="15">
        <f>I22/J22</f>
        <v>-5.5774825575776825</v>
      </c>
      <c r="L22" s="15">
        <f>IF(K22&gt;0,(1-NORMSDIST(K22)),(NORMSDIST(K22)))</f>
        <v>1.2201212194022008E-8</v>
      </c>
      <c r="M22" s="16" t="str">
        <f>IF(L22&lt;0.025,"Significativa","No significativa")</f>
        <v>Significativa</v>
      </c>
      <c r="O22" s="18" t="s">
        <v>19</v>
      </c>
      <c r="P22" s="63">
        <v>9.0748899999999999</v>
      </c>
      <c r="Q22" s="63">
        <v>0.58684000000000003</v>
      </c>
      <c r="R22" s="63">
        <v>9.3819700000000008</v>
      </c>
      <c r="S22" s="63">
        <v>0.70709</v>
      </c>
      <c r="T22" s="4"/>
      <c r="U22" s="14">
        <f>R22-P22</f>
        <v>0.30708000000000091</v>
      </c>
      <c r="V22" s="15">
        <f>SQRT(S22*S22+Q22*Q22)</f>
        <v>0.91888924996432519</v>
      </c>
      <c r="W22" s="15">
        <f>U22/V22</f>
        <v>0.33418608391808147</v>
      </c>
      <c r="X22" s="15">
        <f>IF(W22&gt;0,(1-NORMSDIST(W22)),(NORMSDIST(W22)))</f>
        <v>0.36911957218614877</v>
      </c>
      <c r="Y22" s="16" t="str">
        <f>IF(X22&lt;0.025,"Significativa","No significativa")</f>
        <v>No significativa</v>
      </c>
    </row>
    <row r="23" spans="3:25" x14ac:dyDescent="0.25">
      <c r="C23" s="19" t="s">
        <v>20</v>
      </c>
      <c r="D23" s="64"/>
      <c r="E23" s="64"/>
      <c r="F23" s="64"/>
      <c r="G23" s="64"/>
      <c r="I23" s="46"/>
      <c r="J23" s="15"/>
      <c r="K23" s="15"/>
      <c r="L23" s="15"/>
      <c r="M23" s="16"/>
      <c r="O23" s="19" t="s">
        <v>20</v>
      </c>
      <c r="P23" s="64"/>
      <c r="Q23" s="64"/>
      <c r="R23" s="64"/>
      <c r="S23" s="64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63">
        <v>18.604200000000002</v>
      </c>
      <c r="E24" s="63">
        <v>0.90537000000000001</v>
      </c>
      <c r="F24" s="63">
        <v>13.332260000000002</v>
      </c>
      <c r="G24" s="63">
        <v>0.42512</v>
      </c>
      <c r="H24" s="46"/>
      <c r="I24" s="46">
        <f>F24-D24</f>
        <v>-5.2719400000000007</v>
      </c>
      <c r="J24" s="15">
        <f>SQRT(G24*G24+E24*E24)</f>
        <v>1.0002109034098758</v>
      </c>
      <c r="K24" s="15">
        <f>I24/J24</f>
        <v>-5.2708283643250944</v>
      </c>
      <c r="L24" s="15">
        <f>IF(K24&gt;0,(1-NORMSDIST(K24)),(NORMSDIST(K24)))</f>
        <v>6.7904711965020582E-8</v>
      </c>
      <c r="M24" s="16" t="str">
        <f>IF(L24&lt;0.025,"Significativa","No significativa")</f>
        <v>Significativa</v>
      </c>
      <c r="O24" s="20" t="s">
        <v>21</v>
      </c>
      <c r="P24" s="63">
        <v>15.129239999999999</v>
      </c>
      <c r="Q24" s="63">
        <v>0.46293999999999996</v>
      </c>
      <c r="R24" s="63">
        <v>13.332260000000002</v>
      </c>
      <c r="S24" s="63">
        <v>0.42512</v>
      </c>
      <c r="T24" s="4"/>
      <c r="U24" s="14">
        <f>R24-P24</f>
        <v>-1.7969799999999978</v>
      </c>
      <c r="V24" s="15">
        <f>SQRT(S24*S24+Q24*Q24)</f>
        <v>0.62852244033129001</v>
      </c>
      <c r="W24" s="15">
        <f>U24/V24</f>
        <v>-2.8590546409971003</v>
      </c>
      <c r="X24" s="15">
        <f>IF(W24&gt;0,(1-NORMSDIST(W24)),(NORMSDIST(W24)))</f>
        <v>2.1245279421410932E-3</v>
      </c>
      <c r="Y24" s="16" t="str">
        <f>IF(X24&lt;0.025,"Significativa","No significativa")</f>
        <v>Significativa</v>
      </c>
    </row>
    <row r="25" spans="3:25" x14ac:dyDescent="0.25">
      <c r="C25" s="18" t="s">
        <v>22</v>
      </c>
      <c r="D25" s="63">
        <v>29.626419999999996</v>
      </c>
      <c r="E25" s="63">
        <v>1.5297099999999999</v>
      </c>
      <c r="F25" s="63">
        <v>17.054449999999999</v>
      </c>
      <c r="G25" s="63">
        <v>0.68342000000000003</v>
      </c>
      <c r="H25" s="46"/>
      <c r="I25" s="46">
        <f>F25-D25</f>
        <v>-12.571969999999997</v>
      </c>
      <c r="J25" s="15">
        <f>SQRT(G25*G25+E25*E25)</f>
        <v>1.6754329531497223</v>
      </c>
      <c r="K25" s="15">
        <f>I25/J25</f>
        <v>-7.5037141751123979</v>
      </c>
      <c r="L25" s="15">
        <f>IF(K25&gt;0,(1-NORMSDIST(K25)),(NORMSDIST(K25)))</f>
        <v>3.1017246500825196E-14</v>
      </c>
      <c r="M25" s="16" t="str">
        <f>IF(L25&lt;0.025,"Significativa","No significativa")</f>
        <v>Significativa</v>
      </c>
      <c r="O25" s="18" t="s">
        <v>22</v>
      </c>
      <c r="P25" s="63">
        <v>11.305759999999999</v>
      </c>
      <c r="Q25" s="63">
        <v>0.53144000000000002</v>
      </c>
      <c r="R25" s="63">
        <v>17.054449999999999</v>
      </c>
      <c r="S25" s="63">
        <v>0.68342000000000003</v>
      </c>
      <c r="T25" s="4"/>
      <c r="U25" s="14">
        <f>R25-P25</f>
        <v>5.7486899999999999</v>
      </c>
      <c r="V25" s="15">
        <f>SQRT(S25*S25+Q25*Q25)</f>
        <v>0.86573169631243152</v>
      </c>
      <c r="W25" s="15">
        <f>U25/V25</f>
        <v>6.6402674460071642</v>
      </c>
      <c r="X25" s="15">
        <f>IF(W25&gt;0,(1-NORMSDIST(W25)),(NORMSDIST(W25)))</f>
        <v>1.5655698959449182E-11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63">
        <v>55.870159999999998</v>
      </c>
      <c r="E26" s="63">
        <v>1.4289700000000001</v>
      </c>
      <c r="F26" s="63">
        <v>40.710030000000003</v>
      </c>
      <c r="G26" s="63">
        <v>0.93173000000000006</v>
      </c>
      <c r="H26" s="46"/>
      <c r="I26" s="46">
        <f>F26-D26</f>
        <v>-15.160129999999995</v>
      </c>
      <c r="J26" s="15">
        <f>SQRT(G26*G26+E26*E26)</f>
        <v>1.7058945025411156</v>
      </c>
      <c r="K26" s="15">
        <f>I26/J26</f>
        <v>-8.8869094644582827</v>
      </c>
      <c r="L26" s="15">
        <f>IF(K26&gt;0,(1-NORMSDIST(K26)),(NORMSDIST(K26)))</f>
        <v>3.1416083753802123E-19</v>
      </c>
      <c r="M26" s="16" t="str">
        <f>IF(L26&lt;0.025,"Significativa","No significativa")</f>
        <v>Significativa</v>
      </c>
      <c r="O26" s="18" t="s">
        <v>23</v>
      </c>
      <c r="P26" s="63">
        <v>42.095359999999999</v>
      </c>
      <c r="Q26" s="63">
        <v>0.96757000000000004</v>
      </c>
      <c r="R26" s="63">
        <v>40.710030000000003</v>
      </c>
      <c r="S26" s="63">
        <v>0.93173000000000006</v>
      </c>
      <c r="T26" s="4"/>
      <c r="U26" s="14">
        <f>R26-P26</f>
        <v>-1.3853299999999962</v>
      </c>
      <c r="V26" s="15">
        <f>SQRT(S26*S26+Q26*Q26)</f>
        <v>1.3432469980610418</v>
      </c>
      <c r="W26" s="15">
        <f>U26/V26</f>
        <v>-1.0313293102457706</v>
      </c>
      <c r="X26" s="15">
        <f>IF(W26&gt;0,(1-NORMSDIST(W26)),(NORMSDIST(W26)))</f>
        <v>0.15119320897015887</v>
      </c>
      <c r="Y26" s="16" t="str">
        <f>IF(X26&lt;0.025,"Significativa","No significativa")</f>
        <v>No significativa</v>
      </c>
    </row>
    <row r="27" spans="3:25" x14ac:dyDescent="0.25">
      <c r="C27" s="18" t="s">
        <v>24</v>
      </c>
      <c r="D27" s="63">
        <v>11.33161</v>
      </c>
      <c r="E27" s="63">
        <v>2.01458</v>
      </c>
      <c r="F27" s="63">
        <v>6.0155500000000002</v>
      </c>
      <c r="G27" s="63">
        <v>0.65412999999999999</v>
      </c>
      <c r="H27" s="46"/>
      <c r="I27" s="46">
        <f>F27-D27</f>
        <v>-5.3160599999999993</v>
      </c>
      <c r="J27" s="15">
        <f>SQRT(G27*G27+E27*E27)</f>
        <v>2.1181167657379043</v>
      </c>
      <c r="K27" s="15">
        <f>I27/J27</f>
        <v>-2.5098049767563233</v>
      </c>
      <c r="L27" s="15">
        <f>IF(K27&gt;0,(1-NORMSDIST(K27)),(NORMSDIST(K27)))</f>
        <v>6.0398927545825499E-3</v>
      </c>
      <c r="M27" s="16" t="str">
        <f>IF(L27&lt;0.025,"Significativa","No significativa")</f>
        <v>Significativa</v>
      </c>
      <c r="O27" s="18" t="s">
        <v>24</v>
      </c>
      <c r="P27" s="63">
        <v>6.9783499999999998</v>
      </c>
      <c r="Q27" s="63">
        <v>0.67016999999999993</v>
      </c>
      <c r="R27" s="63">
        <v>6.0155500000000002</v>
      </c>
      <c r="S27" s="63">
        <v>0.65412999999999999</v>
      </c>
      <c r="T27" s="4"/>
      <c r="U27" s="14">
        <f>R27-P27</f>
        <v>-0.96279999999999966</v>
      </c>
      <c r="V27" s="15">
        <f>SQRT(S27*S27+Q27*Q27)</f>
        <v>0.93649019525032928</v>
      </c>
      <c r="W27" s="15">
        <f>U27/V27</f>
        <v>-1.0280940525411881</v>
      </c>
      <c r="X27" s="15">
        <f>IF(W27&gt;0,(1-NORMSDIST(W27)),(NORMSDIST(W27)))</f>
        <v>0.15195279401067283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63">
        <v>12.31753</v>
      </c>
      <c r="E28" s="63">
        <v>1.86425</v>
      </c>
      <c r="F28" s="63">
        <v>4.8586400000000003</v>
      </c>
      <c r="G28" s="63">
        <v>0.67132999999999998</v>
      </c>
      <c r="H28" s="46"/>
      <c r="I28" s="46">
        <f>F28-D28</f>
        <v>-7.4588899999999994</v>
      </c>
      <c r="J28" s="15">
        <f>SQRT(G28*G28+E28*E28)</f>
        <v>1.9814419071474187</v>
      </c>
      <c r="K28" s="15">
        <f>I28/J28</f>
        <v>-3.7643748086150981</v>
      </c>
      <c r="L28" s="15">
        <f>IF(K28&gt;0,(1-NORMSDIST(K28)),(NORMSDIST(K28)))</f>
        <v>8.3483145412395057E-5</v>
      </c>
      <c r="M28" s="16" t="str">
        <f>IF(L28&lt;0.025,"Significativa","No significativa")</f>
        <v>Significativa</v>
      </c>
      <c r="O28" s="18" t="s">
        <v>25</v>
      </c>
      <c r="P28" s="63">
        <v>5.0189400000000006</v>
      </c>
      <c r="Q28" s="63">
        <v>0.63851000000000002</v>
      </c>
      <c r="R28" s="63">
        <v>4.8586400000000003</v>
      </c>
      <c r="S28" s="63">
        <v>0.67132999999999998</v>
      </c>
      <c r="T28" s="4"/>
      <c r="U28" s="14">
        <f>R28-P28</f>
        <v>-0.16030000000000033</v>
      </c>
      <c r="V28" s="15">
        <f>SQRT(S28*S28+Q28*Q28)</f>
        <v>0.92648744675791483</v>
      </c>
      <c r="W28" s="15">
        <f>U28/V28</f>
        <v>-0.17301907388053978</v>
      </c>
      <c r="X28" s="15">
        <f>IF(W28&gt;0,(1-NORMSDIST(W28)),(NORMSDIST(W28)))</f>
        <v>0.43131821746901555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63">
        <v>17.361039999999999</v>
      </c>
      <c r="E29" s="63">
        <v>2.0383499999999999</v>
      </c>
      <c r="F29" s="63">
        <v>12.98143</v>
      </c>
      <c r="G29" s="63">
        <v>0.75200999999999996</v>
      </c>
      <c r="H29" s="46"/>
      <c r="I29" s="46">
        <f>F29-D29</f>
        <v>-4.3796099999999996</v>
      </c>
      <c r="J29" s="15">
        <f>SQRT(G29*G29+E29*E29)</f>
        <v>2.1726457977774469</v>
      </c>
      <c r="K29" s="15">
        <f>I29/J29</f>
        <v>-2.015795673864655</v>
      </c>
      <c r="L29" s="15">
        <f>IF(K29&gt;0,(1-NORMSDIST(K29)),(NORMSDIST(K29)))</f>
        <v>2.1910673065616573E-2</v>
      </c>
      <c r="M29" s="16" t="str">
        <f>IF(L29&lt;0.025,"Significativa","No significativa")</f>
        <v>Significativa</v>
      </c>
      <c r="O29" s="18" t="s">
        <v>26</v>
      </c>
      <c r="P29" s="63">
        <v>17.70045</v>
      </c>
      <c r="Q29" s="63">
        <v>0.93237999999999999</v>
      </c>
      <c r="R29" s="63">
        <v>12.98143</v>
      </c>
      <c r="S29" s="63">
        <v>0.75200999999999996</v>
      </c>
      <c r="T29" s="4"/>
      <c r="U29" s="14">
        <f>R29-P29</f>
        <v>-4.7190200000000004</v>
      </c>
      <c r="V29" s="15">
        <f>SQRT(S29*S29+Q29*Q29)</f>
        <v>1.197852872643381</v>
      </c>
      <c r="W29" s="15">
        <f>U29/V29</f>
        <v>-3.9395656242708901</v>
      </c>
      <c r="X29" s="15">
        <f>IF(W29&gt;0,(1-NORMSDIST(W29)),(NORMSDIST(W29)))</f>
        <v>4.0814635835696661E-5</v>
      </c>
      <c r="Y29" s="16" t="str">
        <f>IF(X29&lt;0.025,"Significativa","No significativa")</f>
        <v>Significativa</v>
      </c>
    </row>
    <row r="30" spans="3:25" x14ac:dyDescent="0.25">
      <c r="C30" s="8" t="s">
        <v>27</v>
      </c>
      <c r="D30" s="64"/>
      <c r="E30" s="64"/>
      <c r="F30" s="64"/>
      <c r="G30" s="64"/>
      <c r="I30" s="46"/>
      <c r="J30" s="15"/>
      <c r="K30" s="15"/>
      <c r="L30" s="15"/>
      <c r="M30" s="16"/>
      <c r="O30" s="8" t="s">
        <v>27</v>
      </c>
      <c r="P30" s="64"/>
      <c r="Q30" s="64"/>
      <c r="R30" s="64"/>
      <c r="S30" s="64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63">
        <v>11.527099999999999</v>
      </c>
      <c r="E31" s="63">
        <v>1.56246</v>
      </c>
      <c r="F31" s="63">
        <v>10.59003</v>
      </c>
      <c r="G31" s="63">
        <v>0.72799000000000003</v>
      </c>
      <c r="H31" s="46"/>
      <c r="I31" s="46">
        <f>F31-D31</f>
        <v>-0.93706999999999852</v>
      </c>
      <c r="J31" s="15">
        <f>SQRT(G31*G31+E31*E31)</f>
        <v>1.7237316182341147</v>
      </c>
      <c r="K31" s="15">
        <f>I31/J31</f>
        <v>-0.54362871231658705</v>
      </c>
      <c r="L31" s="15">
        <f>IF(K31&gt;0,(1-NORMSDIST(K31)),(NORMSDIST(K31)))</f>
        <v>0.29334849873901653</v>
      </c>
      <c r="M31" s="16" t="str">
        <f>IF(L31&lt;0.025,"Significativa","No significativa")</f>
        <v>No significativa</v>
      </c>
      <c r="O31" s="21" t="s">
        <v>28</v>
      </c>
      <c r="P31" s="63">
        <v>9.7379300000000004</v>
      </c>
      <c r="Q31" s="63">
        <v>0.65786999999999995</v>
      </c>
      <c r="R31" s="63">
        <v>10.59003</v>
      </c>
      <c r="S31" s="63">
        <v>0.72799000000000003</v>
      </c>
      <c r="T31" s="22"/>
      <c r="U31" s="14">
        <f>R31-P31</f>
        <v>0.85210000000000008</v>
      </c>
      <c r="V31" s="15">
        <f>SQRT(S31*S31+Q31*Q31)</f>
        <v>0.9812045541068386</v>
      </c>
      <c r="W31" s="15">
        <f>U31/V31</f>
        <v>0.86842238596786925</v>
      </c>
      <c r="X31" s="15">
        <f>IF(W31&gt;0,(1-NORMSDIST(W31)),(NORMSDIST(W31)))</f>
        <v>0.19258157213835492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62">
        <v>39.39096</v>
      </c>
      <c r="E32" s="62">
        <v>2.05965</v>
      </c>
      <c r="F32" s="62">
        <v>36.237160000000003</v>
      </c>
      <c r="G32" s="62">
        <v>1.14215</v>
      </c>
      <c r="H32" s="30"/>
      <c r="I32" s="30">
        <f>F32-D32</f>
        <v>-3.1537999999999968</v>
      </c>
      <c r="J32" s="25">
        <f>SQRT(G32*G32+E32*E32)</f>
        <v>2.3551358230471551</v>
      </c>
      <c r="K32" s="25">
        <f>I32/J32</f>
        <v>-1.3391159733282401</v>
      </c>
      <c r="L32" s="25">
        <f>IF(K32&gt;0,(1-NORMSDIST(K32)),(NORMSDIST(K32)))</f>
        <v>9.0266460598769555E-2</v>
      </c>
      <c r="M32" s="26" t="str">
        <f>IF(L32&lt;0.025,"Significativa","No significativa")</f>
        <v>No significativa</v>
      </c>
      <c r="O32" s="23" t="s">
        <v>29</v>
      </c>
      <c r="P32" s="62">
        <v>36.52187</v>
      </c>
      <c r="Q32" s="62">
        <v>1.1748000000000001</v>
      </c>
      <c r="R32" s="62">
        <v>36.237160000000003</v>
      </c>
      <c r="S32" s="62">
        <v>1.14215</v>
      </c>
      <c r="T32" s="24"/>
      <c r="U32" s="32">
        <f>R32-P32</f>
        <v>-0.28470999999999691</v>
      </c>
      <c r="V32" s="25">
        <f>SQRT(S32*S32+Q32*Q32)</f>
        <v>1.6384937175650078</v>
      </c>
      <c r="W32" s="25">
        <f>U32/V32</f>
        <v>-0.17376325398617279</v>
      </c>
      <c r="X32" s="25">
        <f>IF(W32&gt;0,(1-NORMSDIST(W32)),(NORMSDIST(W32)))</f>
        <v>0.43102576203885279</v>
      </c>
      <c r="Y32" s="26" t="str">
        <f>IF(X32&lt;0.025,"Significativa","No significativa")</f>
        <v>No 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U12:V12"/>
    <mergeCell ref="O11:O12"/>
    <mergeCell ref="D11:E11"/>
    <mergeCell ref="F11:G11"/>
    <mergeCell ref="K11:K12"/>
    <mergeCell ref="L11:L12"/>
    <mergeCell ref="M11:M12"/>
    <mergeCell ref="I12:J12"/>
    <mergeCell ref="P11:Q11"/>
    <mergeCell ref="R11:S11"/>
    <mergeCell ref="W11:W12"/>
    <mergeCell ref="X11:X12"/>
    <mergeCell ref="Y11:Y12"/>
    <mergeCell ref="C9:M9"/>
    <mergeCell ref="O9:Y9"/>
    <mergeCell ref="C10:M10"/>
    <mergeCell ref="O10:Y10"/>
    <mergeCell ref="C11:C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C52F3-B222-41EF-90F9-BF486F673908}">
  <dimension ref="A4:Y34"/>
  <sheetViews>
    <sheetView zoomScaleNormal="100" workbookViewId="0">
      <selection activeCell="I32" sqref="I32"/>
    </sheetView>
  </sheetViews>
  <sheetFormatPr baseColWidth="10" defaultColWidth="11.42578125" defaultRowHeight="15" x14ac:dyDescent="0.25"/>
  <cols>
    <col min="1" max="1" width="1.7109375" style="1" customWidth="1"/>
    <col min="2" max="2" width="1.42578125" style="1" customWidth="1"/>
    <col min="3" max="3" width="64.7109375" style="1" customWidth="1"/>
    <col min="4" max="7" width="10.7109375" style="1" customWidth="1"/>
    <col min="8" max="8" width="1.7109375" style="1" customWidth="1"/>
    <col min="9" max="9" width="13.85546875" style="1" bestFit="1" customWidth="1"/>
    <col min="10" max="10" width="16.7109375" style="1" bestFit="1" customWidth="1"/>
    <col min="11" max="11" width="10.7109375" style="1" customWidth="1"/>
    <col min="12" max="12" width="12.7109375" style="1" customWidth="1"/>
    <col min="13" max="13" width="16.5703125" style="1" customWidth="1"/>
    <col min="14" max="14" width="11.42578125" style="1"/>
    <col min="15" max="15" width="64.7109375" style="1" customWidth="1"/>
    <col min="16" max="19" width="10.7109375" style="1" customWidth="1"/>
    <col min="20" max="20" width="1.7109375" style="1" customWidth="1"/>
    <col min="21" max="21" width="13.85546875" style="1" bestFit="1" customWidth="1"/>
    <col min="22" max="22" width="16.7109375" style="1" bestFit="1" customWidth="1"/>
    <col min="23" max="23" width="10.7109375" style="1" customWidth="1"/>
    <col min="24" max="24" width="12.7109375" style="1" customWidth="1"/>
    <col min="25" max="25" width="16.5703125" style="1" customWidth="1"/>
    <col min="26" max="16384" width="11.42578125" style="1"/>
  </cols>
  <sheetData>
    <row r="4" spans="1:25" x14ac:dyDescent="0.25">
      <c r="A4" s="41"/>
    </row>
    <row r="5" spans="1:25" x14ac:dyDescent="0.25">
      <c r="A5" s="41"/>
    </row>
    <row r="6" spans="1:25" x14ac:dyDescent="0.25">
      <c r="A6" s="41"/>
    </row>
    <row r="7" spans="1:25" x14ac:dyDescent="0.25">
      <c r="A7" s="41"/>
    </row>
    <row r="8" spans="1:25" x14ac:dyDescent="0.25">
      <c r="A8" s="41"/>
    </row>
    <row r="9" spans="1:25" ht="15.75" customHeight="1" x14ac:dyDescent="0.25">
      <c r="A9" s="41"/>
      <c r="C9" s="54" t="s">
        <v>81</v>
      </c>
      <c r="D9" s="54"/>
      <c r="E9" s="54"/>
      <c r="F9" s="54"/>
      <c r="G9" s="54"/>
      <c r="H9" s="54"/>
      <c r="I9" s="54"/>
      <c r="J9" s="54"/>
      <c r="K9" s="54"/>
      <c r="L9" s="54"/>
      <c r="M9" s="54"/>
      <c r="O9" s="54" t="s">
        <v>80</v>
      </c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6.5" customHeight="1" thickBot="1" x14ac:dyDescent="0.3">
      <c r="A10" s="60"/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O10" s="54" t="s">
        <v>33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25.15" customHeight="1" thickTop="1" x14ac:dyDescent="0.25">
      <c r="C11" s="55" t="s">
        <v>1</v>
      </c>
      <c r="D11" s="56">
        <v>2008</v>
      </c>
      <c r="E11" s="56"/>
      <c r="F11" s="56">
        <v>2020</v>
      </c>
      <c r="G11" s="56"/>
      <c r="H11" s="2"/>
      <c r="I11" s="3" t="s">
        <v>2</v>
      </c>
      <c r="J11" s="3" t="s">
        <v>3</v>
      </c>
      <c r="K11" s="52" t="s">
        <v>4</v>
      </c>
      <c r="L11" s="50" t="s">
        <v>5</v>
      </c>
      <c r="M11" s="52" t="s">
        <v>6</v>
      </c>
      <c r="O11" s="55" t="s">
        <v>1</v>
      </c>
      <c r="P11" s="56">
        <v>2018</v>
      </c>
      <c r="Q11" s="56"/>
      <c r="R11" s="56">
        <v>2020</v>
      </c>
      <c r="S11" s="56"/>
      <c r="T11" s="2"/>
      <c r="U11" s="3" t="s">
        <v>2</v>
      </c>
      <c r="V11" s="3" t="s">
        <v>3</v>
      </c>
      <c r="W11" s="52" t="s">
        <v>4</v>
      </c>
      <c r="X11" s="50" t="s">
        <v>5</v>
      </c>
      <c r="Y11" s="52" t="s">
        <v>6</v>
      </c>
    </row>
    <row r="12" spans="1:25" ht="40.9" customHeight="1" thickBot="1" x14ac:dyDescent="0.3">
      <c r="C12" s="55"/>
      <c r="D12" s="5" t="s">
        <v>7</v>
      </c>
      <c r="E12" s="6" t="s">
        <v>8</v>
      </c>
      <c r="F12" s="5" t="s">
        <v>7</v>
      </c>
      <c r="G12" s="6" t="s">
        <v>8</v>
      </c>
      <c r="H12" s="7"/>
      <c r="I12" s="53" t="s">
        <v>9</v>
      </c>
      <c r="J12" s="53"/>
      <c r="K12" s="53"/>
      <c r="L12" s="51"/>
      <c r="M12" s="53"/>
      <c r="O12" s="55"/>
      <c r="P12" s="5" t="s">
        <v>7</v>
      </c>
      <c r="Q12" s="6" t="s">
        <v>8</v>
      </c>
      <c r="R12" s="5" t="s">
        <v>7</v>
      </c>
      <c r="S12" s="6" t="s">
        <v>8</v>
      </c>
      <c r="T12" s="7"/>
      <c r="U12" s="53" t="s">
        <v>34</v>
      </c>
      <c r="V12" s="53"/>
      <c r="W12" s="53"/>
      <c r="X12" s="51"/>
      <c r="Y12" s="53"/>
    </row>
    <row r="13" spans="1:25" ht="15.75" thickBot="1" x14ac:dyDescent="0.3">
      <c r="A13" s="59"/>
      <c r="C13" s="8" t="s">
        <v>10</v>
      </c>
      <c r="D13" s="9"/>
      <c r="E13" s="10"/>
      <c r="F13" s="9"/>
      <c r="G13" s="10"/>
      <c r="H13" s="11"/>
      <c r="I13" s="9"/>
      <c r="J13" s="10"/>
      <c r="K13" s="11"/>
      <c r="L13" s="9"/>
      <c r="M13" s="12"/>
      <c r="O13" s="8" t="s">
        <v>10</v>
      </c>
      <c r="P13" s="9"/>
      <c r="Q13" s="10"/>
      <c r="R13" s="9"/>
      <c r="S13" s="10"/>
      <c r="T13" s="11"/>
      <c r="U13" s="9"/>
      <c r="V13" s="10"/>
      <c r="W13" s="11"/>
      <c r="X13" s="9"/>
      <c r="Y13" s="12"/>
    </row>
    <row r="14" spans="1:25" ht="15" customHeight="1" x14ac:dyDescent="0.25">
      <c r="C14" s="13" t="s">
        <v>11</v>
      </c>
      <c r="D14" s="46">
        <v>27.613291887458232</v>
      </c>
      <c r="E14" s="36">
        <v>1.1018999999999999</v>
      </c>
      <c r="F14" s="14">
        <v>34.189500000000002</v>
      </c>
      <c r="G14" s="36">
        <v>1.28267</v>
      </c>
      <c r="H14" s="4"/>
      <c r="I14" s="14">
        <f>F14-D14</f>
        <v>6.5762081125417708</v>
      </c>
      <c r="J14" s="15">
        <f>SQRT(G14*G14+E14*E14)</f>
        <v>1.6909837192888639</v>
      </c>
      <c r="K14" s="15">
        <f>I14/J14</f>
        <v>3.8889836948325955</v>
      </c>
      <c r="L14" s="15">
        <f>IF(K14&gt;0,(1-NORMSDIST(K14)),(NORMSDIST(K14)))</f>
        <v>5.0332439977540666E-5</v>
      </c>
      <c r="M14" s="16" t="str">
        <f>IF(L14&lt;0.025,"Significativa","No significativa")</f>
        <v>Significativa</v>
      </c>
      <c r="O14" s="13" t="s">
        <v>11</v>
      </c>
      <c r="P14" s="46">
        <v>27.613291887458232</v>
      </c>
      <c r="Q14" s="36">
        <v>1.3634900000000001</v>
      </c>
      <c r="R14" s="14">
        <v>30.550435783251139</v>
      </c>
      <c r="S14" s="36">
        <v>1.28267</v>
      </c>
      <c r="T14" s="4"/>
      <c r="U14" s="14">
        <f>R14-P14</f>
        <v>2.9371438957929072</v>
      </c>
      <c r="V14" s="15">
        <f>SQRT(S14*S14+Q14*Q14)</f>
        <v>1.8719902000277673</v>
      </c>
      <c r="W14" s="15">
        <f>U14/V14</f>
        <v>1.5689953375553678</v>
      </c>
      <c r="X14" s="15">
        <f>IF(W14&gt;0,(1-NORMSDIST(W14)),(NORMSDIST(W14)))</f>
        <v>5.8324512709241438E-2</v>
      </c>
      <c r="Y14" s="16" t="str">
        <f>IF(X14&lt;0.025,"Significativa","No significativa")</f>
        <v>No significativa</v>
      </c>
    </row>
    <row r="15" spans="1:25" ht="15" customHeight="1" x14ac:dyDescent="0.25">
      <c r="C15" s="13" t="s">
        <v>12</v>
      </c>
      <c r="D15" s="46">
        <v>25.495977483403955</v>
      </c>
      <c r="E15" s="36">
        <v>1.0339100000000001</v>
      </c>
      <c r="F15" s="14">
        <v>29.462699999999998</v>
      </c>
      <c r="G15" s="36">
        <v>1.1242000000000001</v>
      </c>
      <c r="H15" s="4"/>
      <c r="I15" s="14">
        <f>F15-D15</f>
        <v>3.9667225165960431</v>
      </c>
      <c r="J15" s="15">
        <f>SQRT(G15*G15+E15*E15)</f>
        <v>1.5273491834220492</v>
      </c>
      <c r="K15" s="15">
        <f>I15/J15</f>
        <v>2.5971287768711413</v>
      </c>
      <c r="L15" s="15">
        <f>IF(K15&gt;0,(1-NORMSDIST(K15)),(NORMSDIST(K15)))</f>
        <v>4.7003336381926664E-3</v>
      </c>
      <c r="M15" s="16" t="str">
        <f>IF(L15&lt;0.025,"Significativa","No significativa")</f>
        <v>Significativa</v>
      </c>
      <c r="O15" s="13" t="s">
        <v>12</v>
      </c>
      <c r="P15" s="46">
        <v>25.495977483403955</v>
      </c>
      <c r="Q15" s="36">
        <v>1.28864</v>
      </c>
      <c r="R15" s="14">
        <v>28.804319170875885</v>
      </c>
      <c r="S15" s="36">
        <v>1.1242000000000001</v>
      </c>
      <c r="T15" s="4"/>
      <c r="U15" s="14">
        <f>R15-P15</f>
        <v>3.3083416874719305</v>
      </c>
      <c r="V15" s="15">
        <f>SQRT(S15*S15+Q15*Q15)</f>
        <v>1.7100931815547364</v>
      </c>
      <c r="W15" s="15">
        <f>U15/V15</f>
        <v>1.9345973208688789</v>
      </c>
      <c r="X15" s="15">
        <f>IF(W15&gt;0,(1-NORMSDIST(W15)),(NORMSDIST(W15)))</f>
        <v>2.6519864528429915E-2</v>
      </c>
      <c r="Y15" s="16" t="str">
        <f>IF(X15&lt;0.025,"Significativa","No significativa")</f>
        <v>No significativa</v>
      </c>
    </row>
    <row r="16" spans="1:25" ht="15" customHeight="1" x14ac:dyDescent="0.25">
      <c r="C16" s="13" t="s">
        <v>13</v>
      </c>
      <c r="D16" s="46">
        <v>2.1173144040542775</v>
      </c>
      <c r="E16" s="36">
        <v>0.37947999999999998</v>
      </c>
      <c r="F16" s="14">
        <v>4.7268100000000004</v>
      </c>
      <c r="G16" s="36">
        <v>0.53765999999999992</v>
      </c>
      <c r="H16" s="4"/>
      <c r="I16" s="14">
        <f>F16-D16</f>
        <v>2.6094955959457229</v>
      </c>
      <c r="J16" s="15">
        <f>SQRT(G16*G16+E16*E16)</f>
        <v>0.65809068220116895</v>
      </c>
      <c r="K16" s="15">
        <f>I16/J16</f>
        <v>3.9652523072010877</v>
      </c>
      <c r="L16" s="15">
        <f>IF(K16&gt;0,(1-NORMSDIST(K16)),(NORMSDIST(K16)))</f>
        <v>3.6659176214204336E-5</v>
      </c>
      <c r="M16" s="16" t="str">
        <f>IF(L16&lt;0.025,"Significativa","No significativa")</f>
        <v>Significativa</v>
      </c>
      <c r="O16" s="13" t="s">
        <v>13</v>
      </c>
      <c r="P16" s="46">
        <v>2.1173144040542775</v>
      </c>
      <c r="Q16" s="36">
        <v>0.34634000000000004</v>
      </c>
      <c r="R16" s="14">
        <v>1.7461166123752536</v>
      </c>
      <c r="S16" s="36">
        <v>0.53765999999999992</v>
      </c>
      <c r="T16" s="4"/>
      <c r="U16" s="14">
        <f>R16-P16</f>
        <v>-0.37119779167902389</v>
      </c>
      <c r="V16" s="15">
        <f>SQRT(S16*S16+Q16*Q16)</f>
        <v>0.63955427541374466</v>
      </c>
      <c r="W16" s="15">
        <f>U16/V16</f>
        <v>-0.58040076651647143</v>
      </c>
      <c r="X16" s="15">
        <f>IF(W16&gt;0,(1-NORMSDIST(W16)),(NORMSDIST(W16)))</f>
        <v>0.28082219417462267</v>
      </c>
      <c r="Y16" s="16" t="str">
        <f>IF(X16&lt;0.025,"Significativa","No significativa")</f>
        <v>No significativa</v>
      </c>
    </row>
    <row r="17" spans="3:25" ht="15" customHeight="1" x14ac:dyDescent="0.25">
      <c r="C17" s="13" t="s">
        <v>14</v>
      </c>
      <c r="D17" s="46">
        <v>36.056791420900957</v>
      </c>
      <c r="E17" s="36">
        <v>1.0435699999999999</v>
      </c>
      <c r="F17" s="14">
        <v>24.182200000000002</v>
      </c>
      <c r="G17" s="36">
        <v>0.94339000000000006</v>
      </c>
      <c r="H17" s="4"/>
      <c r="I17" s="14">
        <f>F17-D17</f>
        <v>-11.874591420900956</v>
      </c>
      <c r="J17" s="15">
        <f>SQRT(G17*G17+E17*E17)</f>
        <v>1.4067775364285571</v>
      </c>
      <c r="K17" s="15">
        <f>I17/J17</f>
        <v>-8.4409873724934936</v>
      </c>
      <c r="L17" s="15">
        <f>IF(K17&gt;0,(1-NORMSDIST(K17)),(NORMSDIST(K17)))</f>
        <v>1.5733407262845558E-17</v>
      </c>
      <c r="M17" s="16" t="str">
        <f>IF(L17&lt;0.025,"Significativa","No significativa")</f>
        <v>Significativa</v>
      </c>
      <c r="O17" s="13" t="s">
        <v>14</v>
      </c>
      <c r="P17" s="46">
        <v>36.056791420900957</v>
      </c>
      <c r="Q17" s="36">
        <v>1.17211</v>
      </c>
      <c r="R17" s="14">
        <v>28.364635592732977</v>
      </c>
      <c r="S17" s="36">
        <v>0.94339000000000006</v>
      </c>
      <c r="T17" s="4"/>
      <c r="U17" s="14">
        <f>R17-P17</f>
        <v>-7.69215582816798</v>
      </c>
      <c r="V17" s="15">
        <f>SQRT(S17*S17+Q17*Q17)</f>
        <v>1.5046017892452475</v>
      </c>
      <c r="W17" s="15">
        <f>U17/V17</f>
        <v>-5.1124197001165284</v>
      </c>
      <c r="X17" s="15">
        <f>IF(W17&gt;0,(1-NORMSDIST(W17)),(NORMSDIST(W17)))</f>
        <v>1.5902910083615742E-7</v>
      </c>
      <c r="Y17" s="16" t="str">
        <f>IF(X17&lt;0.025,"Significativa","No significativa")</f>
        <v>Significativa</v>
      </c>
    </row>
    <row r="18" spans="3:25" ht="15" customHeight="1" x14ac:dyDescent="0.25">
      <c r="C18" s="13" t="s">
        <v>15</v>
      </c>
      <c r="D18" s="46">
        <v>5.0353020124006127</v>
      </c>
      <c r="E18" s="36">
        <v>0.44806000000000001</v>
      </c>
      <c r="F18" s="14">
        <v>9.6317000000000004</v>
      </c>
      <c r="G18" s="36">
        <v>0.64624999999999999</v>
      </c>
      <c r="H18" s="4"/>
      <c r="I18" s="14">
        <f>F18-D18</f>
        <v>4.5963979875993877</v>
      </c>
      <c r="J18" s="15">
        <f>SQRT(G18*G18+E18*E18)</f>
        <v>0.78638211201679808</v>
      </c>
      <c r="K18" s="15">
        <f>I18/J18</f>
        <v>5.8449930604489682</v>
      </c>
      <c r="L18" s="15">
        <f>IF(K18&gt;0,(1-NORMSDIST(K18)),(NORMSDIST(K18)))</f>
        <v>2.5329469632850987E-9</v>
      </c>
      <c r="M18" s="16" t="str">
        <f>IF(L18&lt;0.025,"Significativa","No significativa")</f>
        <v>Significativa</v>
      </c>
      <c r="O18" s="13" t="s">
        <v>15</v>
      </c>
      <c r="P18" s="46">
        <v>5.0353020124006127</v>
      </c>
      <c r="Q18" s="36">
        <v>0.64319000000000004</v>
      </c>
      <c r="R18" s="14">
        <v>7.763074209272756</v>
      </c>
      <c r="S18" s="36">
        <v>0.64624999999999999</v>
      </c>
      <c r="T18" s="4"/>
      <c r="U18" s="14">
        <f>R18-P18</f>
        <v>2.7277721968721433</v>
      </c>
      <c r="V18" s="15">
        <f>SQRT(S18*S18+Q18*Q18)</f>
        <v>0.91177433534839092</v>
      </c>
      <c r="W18" s="15">
        <f>U18/V18</f>
        <v>2.9917185548218526</v>
      </c>
      <c r="X18" s="15">
        <f>IF(W18&gt;0,(1-NORMSDIST(W18)),(NORMSDIST(W18)))</f>
        <v>1.3870594328874164E-3</v>
      </c>
      <c r="Y18" s="16" t="str">
        <f>IF(X18&lt;0.025,"Significativa","No significativa")</f>
        <v>Significativa</v>
      </c>
    </row>
    <row r="19" spans="3:25" ht="15" customHeight="1" x14ac:dyDescent="0.25">
      <c r="C19" s="13" t="s">
        <v>16</v>
      </c>
      <c r="D19" s="46">
        <v>31.294614679240198</v>
      </c>
      <c r="E19" s="36">
        <v>0.91600999999999988</v>
      </c>
      <c r="F19" s="14">
        <v>31.996599999999997</v>
      </c>
      <c r="G19" s="36">
        <v>1.16818</v>
      </c>
      <c r="H19" s="4"/>
      <c r="I19" s="14">
        <f>F19-D19</f>
        <v>0.70198532075979969</v>
      </c>
      <c r="J19" s="15">
        <f>SQRT(G19*G19+E19*E19)</f>
        <v>1.4844927862741537</v>
      </c>
      <c r="K19" s="15">
        <f>I19/J19</f>
        <v>0.47287890332001803</v>
      </c>
      <c r="L19" s="15">
        <f>IF(K19&gt;0,(1-NORMSDIST(K19)),(NORMSDIST(K19)))</f>
        <v>0.31814978848092312</v>
      </c>
      <c r="M19" s="16" t="str">
        <f>IF(L19&lt;0.025,"Significativa","No significativa")</f>
        <v>No significativa</v>
      </c>
      <c r="O19" s="13" t="s">
        <v>16</v>
      </c>
      <c r="P19" s="46">
        <v>31.294614679240198</v>
      </c>
      <c r="Q19" s="36">
        <v>1.29633</v>
      </c>
      <c r="R19" s="14">
        <v>33.321854414743122</v>
      </c>
      <c r="S19" s="36">
        <v>1.16818</v>
      </c>
      <c r="T19" s="4"/>
      <c r="U19" s="14">
        <f>R19-P19</f>
        <v>2.0272397355029241</v>
      </c>
      <c r="V19" s="15">
        <f>SQRT(S19*S19+Q19*Q19)</f>
        <v>1.7450260689456762</v>
      </c>
      <c r="W19" s="15">
        <f>U19/V19</f>
        <v>1.1617246135054922</v>
      </c>
      <c r="X19" s="15">
        <f>IF(W19&gt;0,(1-NORMSDIST(W19)),(NORMSDIST(W19)))</f>
        <v>0.12267367220427994</v>
      </c>
      <c r="Y19" s="16" t="str">
        <f>IF(X19&lt;0.025,"Significativa","No significativa")</f>
        <v>No significativa</v>
      </c>
    </row>
    <row r="20" spans="3:25" ht="15" customHeight="1" x14ac:dyDescent="0.25">
      <c r="C20" s="17" t="s">
        <v>17</v>
      </c>
      <c r="D20" s="46"/>
      <c r="E20" s="36">
        <v>0</v>
      </c>
      <c r="G20" s="36"/>
      <c r="H20" s="4"/>
      <c r="I20" s="14"/>
      <c r="J20" s="15"/>
      <c r="K20" s="15"/>
      <c r="L20" s="15"/>
      <c r="M20" s="16"/>
      <c r="O20" s="17" t="s">
        <v>17</v>
      </c>
      <c r="P20" s="46"/>
      <c r="Q20" s="36"/>
      <c r="S20" s="36"/>
      <c r="T20" s="4"/>
      <c r="U20" s="14"/>
      <c r="V20" s="15"/>
      <c r="W20" s="15"/>
      <c r="X20" s="15"/>
      <c r="Y20" s="16"/>
    </row>
    <row r="21" spans="3:25" x14ac:dyDescent="0.25">
      <c r="C21" s="18" t="s">
        <v>18</v>
      </c>
      <c r="D21" s="46">
        <v>63.670083308359196</v>
      </c>
      <c r="E21" s="36">
        <v>0.95157000000000003</v>
      </c>
      <c r="F21" s="14">
        <v>58.371700000000004</v>
      </c>
      <c r="G21" s="36">
        <v>1.1547099999999999</v>
      </c>
      <c r="H21" s="4"/>
      <c r="I21" s="14">
        <f>F21-D21</f>
        <v>-5.2983833083591918</v>
      </c>
      <c r="J21" s="15">
        <f>SQRT(G21*G21+E21*E21)</f>
        <v>1.4962755925964975</v>
      </c>
      <c r="K21" s="15">
        <f>I21/J21</f>
        <v>-3.5410477418567461</v>
      </c>
      <c r="L21" s="15">
        <f>IF(K21&gt;0,(1-NORMSDIST(K21)),(NORMSDIST(K21)))</f>
        <v>1.9927072856142916E-4</v>
      </c>
      <c r="M21" s="16" t="str">
        <f>IF(L21&lt;0.025,"Significativa","No significativa")</f>
        <v>Significativa</v>
      </c>
      <c r="O21" s="18" t="s">
        <v>18</v>
      </c>
      <c r="P21" s="46">
        <v>63.670083308359196</v>
      </c>
      <c r="Q21" s="36">
        <v>1.2537100000000001</v>
      </c>
      <c r="R21" s="14">
        <v>58.91507137598412</v>
      </c>
      <c r="S21" s="36">
        <v>1.1547099999999999</v>
      </c>
      <c r="T21" s="4"/>
      <c r="U21" s="14">
        <f>R21-P21</f>
        <v>-4.7550119323750764</v>
      </c>
      <c r="V21" s="15">
        <f>SQRT(S21*S21+Q21*Q21)</f>
        <v>1.7044482826416294</v>
      </c>
      <c r="W21" s="15">
        <f>U21/V21</f>
        <v>-2.7897660379612974</v>
      </c>
      <c r="X21" s="15">
        <f>IF(W21&gt;0,(1-NORMSDIST(W21)),(NORMSDIST(W21)))</f>
        <v>2.6373071059435579E-3</v>
      </c>
      <c r="Y21" s="16" t="str">
        <f>IF(X21&lt;0.025,"Significativa","No significativa")</f>
        <v>Significativa</v>
      </c>
    </row>
    <row r="22" spans="3:25" x14ac:dyDescent="0.25">
      <c r="C22" s="18" t="s">
        <v>19</v>
      </c>
      <c r="D22" s="46">
        <v>14.64454517721337</v>
      </c>
      <c r="E22" s="36">
        <v>0.87562000000000006</v>
      </c>
      <c r="F22" s="14">
        <v>10.7203</v>
      </c>
      <c r="G22" s="36">
        <v>0.81509000000000009</v>
      </c>
      <c r="H22" s="4"/>
      <c r="I22" s="14">
        <f>F22-D22</f>
        <v>-3.9242451772133702</v>
      </c>
      <c r="J22" s="15">
        <f>SQRT(G22*G22+E22*E22)</f>
        <v>1.1962784343538089</v>
      </c>
      <c r="K22" s="15">
        <f>I22/J22</f>
        <v>-3.2803777653428328</v>
      </c>
      <c r="L22" s="15">
        <f>IF(K22&gt;0,(1-NORMSDIST(K22)),(NORMSDIST(K22)))</f>
        <v>5.1834087882180531E-4</v>
      </c>
      <c r="M22" s="16" t="str">
        <f>IF(L22&lt;0.025,"Significativa","No significativa")</f>
        <v>Significativa</v>
      </c>
      <c r="O22" s="18" t="s">
        <v>19</v>
      </c>
      <c r="P22" s="46">
        <v>14.64454517721337</v>
      </c>
      <c r="Q22" s="36">
        <v>0.82561000000000007</v>
      </c>
      <c r="R22" s="14">
        <v>7.4008050047174034</v>
      </c>
      <c r="S22" s="36">
        <v>0.81509000000000009</v>
      </c>
      <c r="T22" s="4"/>
      <c r="U22" s="14">
        <f>R22-P22</f>
        <v>-7.2437401724959667</v>
      </c>
      <c r="V22" s="15">
        <f>SQRT(S22*S22+Q22*Q22)</f>
        <v>1.1601739439411662</v>
      </c>
      <c r="W22" s="15">
        <f>U22/V22</f>
        <v>-6.2436673486120844</v>
      </c>
      <c r="X22" s="15">
        <f>IF(W22&gt;0,(1-NORMSDIST(W22)),(NORMSDIST(W22)))</f>
        <v>2.1371426585251072E-10</v>
      </c>
      <c r="Y22" s="16" t="str">
        <f>IF(X22&lt;0.025,"Significativa","No significativa")</f>
        <v>Significativa</v>
      </c>
    </row>
    <row r="23" spans="3:25" x14ac:dyDescent="0.25">
      <c r="C23" s="19" t="s">
        <v>20</v>
      </c>
      <c r="D23" s="46"/>
      <c r="E23" s="36">
        <v>0</v>
      </c>
      <c r="G23" s="36"/>
      <c r="H23" s="4"/>
      <c r="I23" s="14"/>
      <c r="J23" s="15"/>
      <c r="K23" s="15"/>
      <c r="L23" s="15"/>
      <c r="M23" s="16"/>
      <c r="O23" s="19" t="s">
        <v>20</v>
      </c>
      <c r="P23" s="46"/>
      <c r="Q23" s="36"/>
      <c r="S23" s="36"/>
      <c r="T23" s="4"/>
      <c r="U23" s="14"/>
      <c r="V23" s="15"/>
      <c r="W23" s="15"/>
      <c r="X23" s="15"/>
      <c r="Y23" s="16"/>
    </row>
    <row r="24" spans="3:25" x14ac:dyDescent="0.25">
      <c r="C24" s="20" t="s">
        <v>21</v>
      </c>
      <c r="D24" s="46">
        <v>10.62059508786642</v>
      </c>
      <c r="E24" s="36">
        <v>0.37986000000000003</v>
      </c>
      <c r="F24" s="14">
        <v>7.8841099999999997</v>
      </c>
      <c r="G24" s="36">
        <v>0.40794999999999998</v>
      </c>
      <c r="H24" s="4"/>
      <c r="I24" s="14">
        <f>F24-D24</f>
        <v>-2.73648508786642</v>
      </c>
      <c r="J24" s="15">
        <f>SQRT(G24*G24+E24*E24)</f>
        <v>0.55741978983527307</v>
      </c>
      <c r="K24" s="15">
        <f>I24/J24</f>
        <v>-4.9091997409620092</v>
      </c>
      <c r="L24" s="15">
        <f>IF(K24&gt;0,(1-NORMSDIST(K24)),(NORMSDIST(K24)))</f>
        <v>4.5724399502784046E-7</v>
      </c>
      <c r="M24" s="16" t="str">
        <f>IF(L24&lt;0.025,"Significativa","No significativa")</f>
        <v>Significativa</v>
      </c>
      <c r="O24" s="20" t="s">
        <v>21</v>
      </c>
      <c r="P24" s="46">
        <v>10.62059508786642</v>
      </c>
      <c r="Q24" s="36">
        <v>0.49484999999999996</v>
      </c>
      <c r="R24" s="14">
        <v>8.1186929292480681</v>
      </c>
      <c r="S24" s="36">
        <v>0.40794999999999998</v>
      </c>
      <c r="T24" s="4"/>
      <c r="U24" s="14">
        <f>R24-P24</f>
        <v>-2.5019021586183516</v>
      </c>
      <c r="V24" s="15">
        <f>SQRT(S24*S24+Q24*Q24)</f>
        <v>0.64132653539363227</v>
      </c>
      <c r="W24" s="15">
        <f>U24/V24</f>
        <v>-3.9011361927863137</v>
      </c>
      <c r="X24" s="15">
        <f>IF(W24&gt;0,(1-NORMSDIST(W24)),(NORMSDIST(W24)))</f>
        <v>4.7871132494288893E-5</v>
      </c>
      <c r="Y24" s="16" t="str">
        <f>IF(X24&lt;0.025,"Significativa","No significativa")</f>
        <v>Significativa</v>
      </c>
    </row>
    <row r="25" spans="3:25" x14ac:dyDescent="0.25">
      <c r="C25" s="18" t="s">
        <v>22</v>
      </c>
      <c r="D25" s="46">
        <v>36.344453209658703</v>
      </c>
      <c r="E25" s="36">
        <v>1.0802499999999999</v>
      </c>
      <c r="F25" s="14">
        <v>26.741</v>
      </c>
      <c r="G25" s="36">
        <v>0.97906000000000004</v>
      </c>
      <c r="H25" s="4"/>
      <c r="I25" s="14">
        <f>F25-D25</f>
        <v>-9.6034532096587029</v>
      </c>
      <c r="J25" s="15">
        <f>SQRT(G25*G25+E25*E25)</f>
        <v>1.4579089635844895</v>
      </c>
      <c r="K25" s="15">
        <f>I25/J25</f>
        <v>-6.5871418926235021</v>
      </c>
      <c r="L25" s="15">
        <f>IF(K25&gt;0,(1-NORMSDIST(K25)),(NORMSDIST(K25)))</f>
        <v>2.241868724905034E-11</v>
      </c>
      <c r="M25" s="16" t="str">
        <f>IF(L25&lt;0.025,"Significativa","No significativa")</f>
        <v>Significativa</v>
      </c>
      <c r="O25" s="18" t="s">
        <v>22</v>
      </c>
      <c r="P25" s="46">
        <v>36.344453209658703</v>
      </c>
      <c r="Q25" s="36">
        <v>0.87153000000000003</v>
      </c>
      <c r="R25" s="14">
        <v>20.057736227432908</v>
      </c>
      <c r="S25" s="36">
        <v>0.97906000000000004</v>
      </c>
      <c r="T25" s="4"/>
      <c r="U25" s="14">
        <f>R25-P25</f>
        <v>-16.286716982225794</v>
      </c>
      <c r="V25" s="15">
        <f>SQRT(S25*S25+Q25*Q25)</f>
        <v>1.3107719193284544</v>
      </c>
      <c r="W25" s="15">
        <f>U25/V25</f>
        <v>-12.425286765808915</v>
      </c>
      <c r="X25" s="15">
        <f>IF(W25&gt;0,(1-NORMSDIST(W25)),(NORMSDIST(W25)))</f>
        <v>9.5270968584577409E-36</v>
      </c>
      <c r="Y25" s="16" t="str">
        <f>IF(X25&lt;0.025,"Significativa","No significativa")</f>
        <v>Significativa</v>
      </c>
    </row>
    <row r="26" spans="3:25" x14ac:dyDescent="0.25">
      <c r="C26" s="18" t="s">
        <v>23</v>
      </c>
      <c r="D26" s="46">
        <v>52.922747254076384</v>
      </c>
      <c r="E26" s="36">
        <v>0.99936000000000003</v>
      </c>
      <c r="F26" s="14">
        <v>47.038200000000003</v>
      </c>
      <c r="G26" s="36">
        <v>1.11002</v>
      </c>
      <c r="H26" s="4"/>
      <c r="I26" s="14">
        <f>F26-D26</f>
        <v>-5.8845472540763808</v>
      </c>
      <c r="J26" s="15">
        <f>SQRT(G26*G26+E26*E26)</f>
        <v>1.4936079840440062</v>
      </c>
      <c r="K26" s="15">
        <f>I26/J26</f>
        <v>-3.9398204327642401</v>
      </c>
      <c r="L26" s="15">
        <f>IF(K26&gt;0,(1-NORMSDIST(K26)),(NORMSDIST(K26)))</f>
        <v>4.077131046195071E-5</v>
      </c>
      <c r="M26" s="16" t="str">
        <f>IF(L26&lt;0.025,"Significativa","No significativa")</f>
        <v>Significativa</v>
      </c>
      <c r="O26" s="18" t="s">
        <v>23</v>
      </c>
      <c r="P26" s="46">
        <v>52.922747254076384</v>
      </c>
      <c r="Q26" s="36">
        <v>1.23468</v>
      </c>
      <c r="R26" s="14">
        <v>48.347451378295844</v>
      </c>
      <c r="S26" s="36">
        <v>1.11002</v>
      </c>
      <c r="T26" s="4"/>
      <c r="U26" s="14">
        <f>R26-P26</f>
        <v>-4.5752958757805402</v>
      </c>
      <c r="V26" s="15">
        <f>SQRT(S26*S26+Q26*Q26)</f>
        <v>1.6602948842901373</v>
      </c>
      <c r="W26" s="15">
        <f>U26/V26</f>
        <v>-2.7557128068467898</v>
      </c>
      <c r="X26" s="15">
        <f>IF(W26&gt;0,(1-NORMSDIST(W26)),(NORMSDIST(W26)))</f>
        <v>2.9282196906988351E-3</v>
      </c>
      <c r="Y26" s="16" t="str">
        <f>IF(X26&lt;0.025,"Significativa","No significativa")</f>
        <v>Significativa</v>
      </c>
    </row>
    <row r="27" spans="3:25" x14ac:dyDescent="0.25">
      <c r="C27" s="18" t="s">
        <v>24</v>
      </c>
      <c r="D27" s="46">
        <v>6.3182449203940854</v>
      </c>
      <c r="E27" s="36">
        <v>0.69243999999999994</v>
      </c>
      <c r="F27" s="14">
        <v>5.0604399999999998</v>
      </c>
      <c r="G27" s="36">
        <v>0.61251</v>
      </c>
      <c r="H27" s="4"/>
      <c r="I27" s="14">
        <f>F27-D27</f>
        <v>-1.2578049203940855</v>
      </c>
      <c r="J27" s="15">
        <f>SQRT(G27*G27+E27*E27)</f>
        <v>0.92446830865097795</v>
      </c>
      <c r="K27" s="15">
        <f>I27/J27</f>
        <v>-1.3605711614165834</v>
      </c>
      <c r="L27" s="15">
        <f>IF(K27&gt;0,(1-NORMSDIST(K27)),(NORMSDIST(K27)))</f>
        <v>8.6824625147021842E-2</v>
      </c>
      <c r="M27" s="16" t="str">
        <f>IF(L27&lt;0.025,"Significativa","No significativa")</f>
        <v>No significativa</v>
      </c>
      <c r="O27" s="18" t="s">
        <v>24</v>
      </c>
      <c r="P27" s="46">
        <v>6.3182449203940854</v>
      </c>
      <c r="Q27" s="36">
        <v>0.76360000000000006</v>
      </c>
      <c r="R27" s="14">
        <v>5.0773488936451994</v>
      </c>
      <c r="S27" s="36">
        <v>0.61251</v>
      </c>
      <c r="T27" s="4"/>
      <c r="U27" s="14">
        <f>R27-P27</f>
        <v>-1.240896026748886</v>
      </c>
      <c r="V27" s="15">
        <f>SQRT(S27*S27+Q27*Q27)</f>
        <v>0.97890421395558413</v>
      </c>
      <c r="W27" s="15">
        <f>U27/V27</f>
        <v>-1.2676378434766746</v>
      </c>
      <c r="X27" s="15">
        <f>IF(W27&gt;0,(1-NORMSDIST(W27)),(NORMSDIST(W27)))</f>
        <v>0.10246365551034117</v>
      </c>
      <c r="Y27" s="16" t="str">
        <f>IF(X27&lt;0.025,"Significativa","No significativa")</f>
        <v>No significativa</v>
      </c>
    </row>
    <row r="28" spans="3:25" x14ac:dyDescent="0.25">
      <c r="C28" s="18" t="s">
        <v>25</v>
      </c>
      <c r="D28" s="46">
        <v>4.0946392278129951</v>
      </c>
      <c r="E28" s="36">
        <v>0.68591000000000002</v>
      </c>
      <c r="F28" s="14">
        <v>3.0566499999999999</v>
      </c>
      <c r="G28" s="36">
        <v>0.82226999999999995</v>
      </c>
      <c r="H28" s="4"/>
      <c r="I28" s="14">
        <f>F28-D28</f>
        <v>-1.0379892278129952</v>
      </c>
      <c r="J28" s="15">
        <f>SQRT(G28*G28+E28*E28)</f>
        <v>1.0707943224541303</v>
      </c>
      <c r="K28" s="15">
        <f>I28/J28</f>
        <v>-0.96936377607424196</v>
      </c>
      <c r="L28" s="15">
        <f>IF(K28&gt;0,(1-NORMSDIST(K28)),(NORMSDIST(K28)))</f>
        <v>0.16618185958642009</v>
      </c>
      <c r="M28" s="16" t="str">
        <f>IF(L28&lt;0.025,"Significativa","No significativa")</f>
        <v>No significativa</v>
      </c>
      <c r="O28" s="18" t="s">
        <v>25</v>
      </c>
      <c r="P28" s="46">
        <v>4.0946392278129951</v>
      </c>
      <c r="Q28" s="36">
        <v>0.94961000000000007</v>
      </c>
      <c r="R28" s="14">
        <v>2.9183442343202586</v>
      </c>
      <c r="S28" s="36">
        <v>0.82226999999999995</v>
      </c>
      <c r="T28" s="4"/>
      <c r="U28" s="14">
        <f>R28-P28</f>
        <v>-1.1762949934927365</v>
      </c>
      <c r="V28" s="15">
        <f>SQRT(S28*S28+Q28*Q28)</f>
        <v>1.2561397633225373</v>
      </c>
      <c r="W28" s="15">
        <f>U28/V28</f>
        <v>-0.93643639652118937</v>
      </c>
      <c r="X28" s="15">
        <f>IF(W28&gt;0,(1-NORMSDIST(W28)),(NORMSDIST(W28)))</f>
        <v>0.17452427289618683</v>
      </c>
      <c r="Y28" s="16" t="str">
        <f>IF(X28&lt;0.025,"Significativa","No significativa")</f>
        <v>No significativa</v>
      </c>
    </row>
    <row r="29" spans="3:25" x14ac:dyDescent="0.25">
      <c r="C29" s="18" t="s">
        <v>26</v>
      </c>
      <c r="D29" s="46">
        <v>15.572351318746644</v>
      </c>
      <c r="E29" s="36">
        <v>0.96069999999999989</v>
      </c>
      <c r="F29" s="14">
        <v>15.930300000000001</v>
      </c>
      <c r="G29" s="36">
        <v>1.0496099999999999</v>
      </c>
      <c r="H29" s="4"/>
      <c r="I29" s="14">
        <f>F29-D29</f>
        <v>0.35794868125335633</v>
      </c>
      <c r="J29" s="15">
        <f>SQRT(G29*G29+E29*E29)</f>
        <v>1.4228934050377771</v>
      </c>
      <c r="K29" s="15">
        <f>I29/J29</f>
        <v>0.2515639470855886</v>
      </c>
      <c r="L29" s="15">
        <f>IF(K29&gt;0,(1-NORMSDIST(K29)),(NORMSDIST(K29)))</f>
        <v>0.4006890642941715</v>
      </c>
      <c r="M29" s="16" t="str">
        <f>IF(L29&lt;0.025,"Significativa","No significativa")</f>
        <v>No significativa</v>
      </c>
      <c r="O29" s="18" t="s">
        <v>26</v>
      </c>
      <c r="P29" s="46">
        <v>15.572351318746644</v>
      </c>
      <c r="Q29" s="36">
        <v>1.08236</v>
      </c>
      <c r="R29" s="14">
        <v>13.870564943860913</v>
      </c>
      <c r="S29" s="36">
        <v>1.0496099999999999</v>
      </c>
      <c r="T29" s="4"/>
      <c r="U29" s="14">
        <f>R29-P29</f>
        <v>-1.7017863748857316</v>
      </c>
      <c r="V29" s="15">
        <f>SQRT(S29*S29+Q29*Q29)</f>
        <v>1.507708301263875</v>
      </c>
      <c r="W29" s="15">
        <f>U29/V29</f>
        <v>-1.1287238874118857</v>
      </c>
      <c r="X29" s="15">
        <f>IF(W29&gt;0,(1-NORMSDIST(W29)),(NORMSDIST(W29)))</f>
        <v>0.12950716459282094</v>
      </c>
      <c r="Y29" s="16" t="str">
        <f>IF(X29&lt;0.025,"Significativa","No significativa")</f>
        <v>No significativa</v>
      </c>
    </row>
    <row r="30" spans="3:25" x14ac:dyDescent="0.25">
      <c r="C30" s="8" t="s">
        <v>27</v>
      </c>
      <c r="D30" s="46"/>
      <c r="G30" s="36"/>
      <c r="H30" s="4"/>
      <c r="I30" s="14"/>
      <c r="J30" s="15"/>
      <c r="K30" s="15"/>
      <c r="L30" s="15"/>
      <c r="M30" s="16"/>
      <c r="O30" s="8" t="s">
        <v>27</v>
      </c>
      <c r="P30" s="46"/>
      <c r="S30" s="36"/>
      <c r="T30" s="4"/>
      <c r="U30" s="14"/>
      <c r="V30" s="15"/>
      <c r="W30" s="15"/>
      <c r="X30" s="15"/>
      <c r="Y30" s="16"/>
    </row>
    <row r="31" spans="3:25" x14ac:dyDescent="0.25">
      <c r="C31" s="21" t="s">
        <v>28</v>
      </c>
      <c r="D31" s="46">
        <v>5.2832067603544131</v>
      </c>
      <c r="E31" s="36">
        <v>0.63106000000000007</v>
      </c>
      <c r="F31" s="14">
        <v>15.226600000000001</v>
      </c>
      <c r="G31" s="36">
        <v>1.0728200000000001</v>
      </c>
      <c r="H31" s="22"/>
      <c r="I31" s="14">
        <f>F31-D31</f>
        <v>9.9433932396455873</v>
      </c>
      <c r="J31" s="15">
        <f>SQRT(((G31^2)+(E31^2)))</f>
        <v>1.2446603858081129</v>
      </c>
      <c r="K31" s="15">
        <f>(F31-D31)/SQRT(((G31^2)+(E31^2)))</f>
        <v>7.9888404524015622</v>
      </c>
      <c r="L31" s="15">
        <f>IF(K31&gt;0,(1-NORMSDIST(K31)),(NORMSDIST(K31)))</f>
        <v>6.6613381477509392E-16</v>
      </c>
      <c r="M31" s="16" t="str">
        <f>IF(L31&lt;0.025,"Significativa","No significativa")</f>
        <v>Significativa</v>
      </c>
      <c r="O31" s="21" t="s">
        <v>28</v>
      </c>
      <c r="P31" s="46">
        <v>5.2832067603544131</v>
      </c>
      <c r="Q31" s="36">
        <v>0.81816000000000011</v>
      </c>
      <c r="R31" s="14">
        <v>7.8299206895550384</v>
      </c>
      <c r="S31" s="36">
        <v>1.0728200000000001</v>
      </c>
      <c r="T31" s="22"/>
      <c r="U31" s="14">
        <f>R31-P31</f>
        <v>2.5467139292006253</v>
      </c>
      <c r="V31" s="15">
        <f>SQRT(((S31^2)+(Q31^2)))</f>
        <v>1.3491955151126171</v>
      </c>
      <c r="W31" s="15">
        <f>(R31-P31)/SQRT(((S31^2)+(Q31^2)))</f>
        <v>1.8875795988604747</v>
      </c>
      <c r="X31" s="15">
        <f>IF(W31&gt;0,(1-NORMSDIST(W31)),(NORMSDIST(W31)))</f>
        <v>2.9541205518219149E-2</v>
      </c>
      <c r="Y31" s="16" t="str">
        <f>IF(X31&lt;0.025,"Significativa","No significativa")</f>
        <v>No significativa</v>
      </c>
    </row>
    <row r="32" spans="3:25" ht="15" customHeight="1" thickBot="1" x14ac:dyDescent="0.3">
      <c r="C32" s="23" t="s">
        <v>29</v>
      </c>
      <c r="D32" s="30">
        <v>32.648593899858845</v>
      </c>
      <c r="E32" s="33">
        <v>1.17262</v>
      </c>
      <c r="F32" s="32">
        <v>43.821199999999997</v>
      </c>
      <c r="G32" s="33">
        <v>1.4262300000000001</v>
      </c>
      <c r="H32" s="24"/>
      <c r="I32" s="32">
        <f>F32-D32</f>
        <v>11.172606100141152</v>
      </c>
      <c r="J32" s="25">
        <f>SQRT(((G32^2)+(E32^2)))</f>
        <v>1.8463936950986375</v>
      </c>
      <c r="K32" s="25">
        <f>(F32-D32)/SQRT(((G32^2)+(E32^2)))</f>
        <v>6.0510421638675993</v>
      </c>
      <c r="L32" s="25">
        <f>IF(K32&gt;0,(1-NORMSDIST(K32)),(NORMSDIST(K32)))</f>
        <v>7.1955885694308108E-10</v>
      </c>
      <c r="M32" s="26" t="str">
        <f>IF(L32&lt;0.025,"Significativa","No significativa")</f>
        <v>Significativa</v>
      </c>
      <c r="O32" s="23" t="s">
        <v>29</v>
      </c>
      <c r="P32" s="30">
        <v>32.648593899858845</v>
      </c>
      <c r="Q32" s="33">
        <v>1.5555099999999999</v>
      </c>
      <c r="R32" s="32">
        <v>38.313509992523898</v>
      </c>
      <c r="S32" s="33">
        <v>1.4262300000000001</v>
      </c>
      <c r="T32" s="24"/>
      <c r="U32" s="32">
        <f>R32-P32</f>
        <v>5.6649160926650524</v>
      </c>
      <c r="V32" s="25">
        <f>SQRT(((S32^2)+(Q32^2)))</f>
        <v>2.1103893889517167</v>
      </c>
      <c r="W32" s="25">
        <f>(R32-P32)/SQRT(((S32^2)+(Q32^2)))</f>
        <v>2.6842989840272833</v>
      </c>
      <c r="X32" s="25">
        <f>IF(W32&gt;0,(1-NORMSDIST(W32)),(NORMSDIST(W32)))</f>
        <v>3.6341037936964415E-3</v>
      </c>
      <c r="Y32" s="26" t="str">
        <f>IF(X32&lt;0.025,"Significativa","No significativa")</f>
        <v>Significativa</v>
      </c>
    </row>
    <row r="33" spans="1:15" ht="15" customHeight="1" thickTop="1" thickBot="1" x14ac:dyDescent="0.3">
      <c r="A33" s="58"/>
      <c r="C33" s="27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28"/>
      <c r="O33" s="27" t="s">
        <v>30</v>
      </c>
    </row>
    <row r="34" spans="1:15" ht="15.75" thickTop="1" x14ac:dyDescent="0.25">
      <c r="C34" s="29" t="s">
        <v>64</v>
      </c>
      <c r="D34" s="4"/>
      <c r="E34" s="4"/>
      <c r="F34" s="4"/>
      <c r="G34" s="4"/>
      <c r="H34" s="4"/>
      <c r="I34" s="4"/>
      <c r="J34" s="4"/>
      <c r="K34" s="4"/>
      <c r="L34" s="4"/>
      <c r="M34" s="28"/>
      <c r="O34" s="29" t="s">
        <v>79</v>
      </c>
    </row>
  </sheetData>
  <mergeCells count="18">
    <mergeCell ref="O9:Y9"/>
    <mergeCell ref="O11:O12"/>
    <mergeCell ref="P11:Q11"/>
    <mergeCell ref="R11:S11"/>
    <mergeCell ref="W11:W12"/>
    <mergeCell ref="X11:X12"/>
    <mergeCell ref="Y11:Y12"/>
    <mergeCell ref="U12:V12"/>
    <mergeCell ref="O10:Y10"/>
    <mergeCell ref="C9:M9"/>
    <mergeCell ref="C10:M10"/>
    <mergeCell ref="K11:K12"/>
    <mergeCell ref="L11:L12"/>
    <mergeCell ref="M11:M12"/>
    <mergeCell ref="I12:J12"/>
    <mergeCell ref="C11:C12"/>
    <mergeCell ref="D11:E11"/>
    <mergeCell ref="F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Aguascalientes</vt:lpstr>
      <vt:lpstr>Baja California</vt:lpstr>
      <vt:lpstr>Baja California Sur</vt:lpstr>
      <vt:lpstr>Campeche</vt:lpstr>
      <vt:lpstr>Coahuila</vt:lpstr>
      <vt:lpstr>Colima</vt:lpstr>
      <vt:lpstr>Chiapas</vt:lpstr>
      <vt:lpstr>Chihuahua</vt:lpstr>
      <vt:lpstr>Ciudad de México</vt:lpstr>
      <vt:lpstr>Durango</vt:lpstr>
      <vt:lpstr>Guanajuato</vt:lpstr>
      <vt:lpstr>Guerrero</vt:lpstr>
      <vt:lpstr>Hidalgo</vt:lpstr>
      <vt:lpstr>Jalisco</vt:lpstr>
      <vt:lpstr>México</vt:lpstr>
      <vt:lpstr>Michoacán</vt:lpstr>
      <vt:lpstr>Morelos</vt:lpstr>
      <vt:lpstr>Nayarit</vt:lpstr>
      <vt:lpstr>Nuevo León</vt:lpstr>
      <vt:lpstr>Oaxaca</vt:lpstr>
      <vt:lpstr>Puebla</vt:lpstr>
      <vt:lpstr>Querétaro</vt:lpstr>
      <vt:lpstr>Quintana Roo</vt:lpstr>
      <vt:lpstr>San Luis Potosí</vt:lpstr>
      <vt:lpstr>Sinaloa</vt:lpstr>
      <vt:lpstr>Sonora</vt:lpstr>
      <vt:lpstr>Tabasco</vt:lpstr>
      <vt:lpstr>Tamaulipas</vt:lpstr>
      <vt:lpstr>Tlaxcala</vt:lpstr>
      <vt:lpstr>Veracruz</vt:lpstr>
      <vt:lpstr>Yucatán</vt:lpstr>
      <vt:lpstr>Zacatecas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Aponte Trujillo</dc:creator>
  <cp:lastModifiedBy>lenovo</cp:lastModifiedBy>
  <dcterms:created xsi:type="dcterms:W3CDTF">2022-01-17T14:04:04Z</dcterms:created>
  <dcterms:modified xsi:type="dcterms:W3CDTF">2022-01-26T18:15:11Z</dcterms:modified>
</cp:coreProperties>
</file>